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user\Google Drive\Volkwagen\PARK AVENUE VOLKSWAGEN\5 Réalisé\2021\"/>
    </mc:Choice>
  </mc:AlternateContent>
  <xr:revisionPtr revIDLastSave="0" documentId="13_ncr:1_{2D8AED25-E65A-4CB4-A114-5EF52CE0F385}" xr6:coauthVersionLast="47" xr6:coauthVersionMax="47" xr10:uidLastSave="{00000000-0000-0000-0000-000000000000}"/>
  <bookViews>
    <workbookView xWindow="-120" yWindow="-120" windowWidth="29040" windowHeight="15840" tabRatio="723" activeTab="5" xr2:uid="{00000000-000D-0000-FFFF-FFFF00000000}"/>
  </bookViews>
  <sheets>
    <sheet name="Parametres" sheetId="1" r:id="rId1"/>
    <sheet name="Bilan" sheetId="2" r:id="rId2"/>
    <sheet name="Budget original" sheetId="15" r:id="rId3"/>
    <sheet name="2pager" sheetId="19" r:id="rId4"/>
    <sheet name="Budget révisé" sheetId="16" r:id="rId5"/>
    <sheet name="Print_Mois" sheetId="3" r:id="rId6"/>
    <sheet name="Print_AAD" sheetId="17" r:id="rId7"/>
    <sheet name="BV_Data_An_Cour" sheetId="5" r:id="rId8"/>
    <sheet name="BV_Data_An_Prec" sheetId="14" r:id="rId9"/>
    <sheet name="Data_Validation" sheetId="10" r:id="rId10"/>
    <sheet name="Feuil1" sheetId="20" r:id="rId11"/>
  </sheets>
  <externalReferences>
    <externalReference r:id="rId12"/>
    <externalReference r:id="rId13"/>
    <externalReference r:id="rId14"/>
    <externalReference r:id="rId15"/>
  </externalReferences>
  <definedNames>
    <definedName name="_Dates_Conc">[1]Dealers!$BF$37:$KA$63</definedName>
    <definedName name="_xlnm._FilterDatabase" localSheetId="7" hidden="1">BV_Data_An_Cour!$A$1:$X$1054</definedName>
    <definedName name="_xlnm._FilterDatabase" localSheetId="8" hidden="1">BV_Data_An_Prec!$A$1:$X$1055</definedName>
    <definedName name="_xlnm._FilterDatabase" localSheetId="9" hidden="1">Data_Validation!$A$1:$G$876</definedName>
    <definedName name="_xlnm._FilterDatabase" localSheetId="10" hidden="1">Feuil1!$A$1:$D$1</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hidden="1">{"Page1",#N/A,FALSE,"CompCo";"Page2",#N/A,FALSE,"CompCo"}</definedName>
    <definedName name="Compco2" localSheetId="3"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hidden="1">{"finana",#N/A,FALSE,"Fin"}</definedName>
    <definedName name="limcount" hidden="1">1</definedName>
    <definedName name="lkhkhj" localSheetId="3"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hidden="1">{#N/A,#N/A,FALSE,"amendement"}</definedName>
    <definedName name="wrn.amendement.." localSheetId="3" hidden="1">{#N/A,#N/A,FALSE,"amendement"}</definedName>
    <definedName name="wrn.amendement.." hidden="1">{#N/A,#N/A,FALSE,"amendement"}</definedName>
    <definedName name="wrn.COMPCO." localSheetId="3"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hidden="1">{"execsum",#N/A,FALSE,"ExecSum";"finstatement",#N/A,FALSE,"Fin_St"}</definedName>
    <definedName name="wrn.Finanalysis." localSheetId="3"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original'!$B$1:$AO$496</definedName>
    <definedName name="_xlnm.Print_Area" localSheetId="4">'Budget révisé'!$B$1:$AO$496</definedName>
    <definedName name="_xlnm.Print_Area" localSheetId="6">Print_AAD!$C$1:$S$352,Print_AAD!$V$401:$AO$497</definedName>
    <definedName name="_xlnm.Print_Area" localSheetId="5">Print_Mois!$C$1:$S$352,Print_Mois!$V$401:$AO$497</definedName>
    <definedName name="_xlnm.Print_Area">#REF!</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D23" i="3" l="1"/>
  <c r="E23" i="3" s="1"/>
  <c r="D22" i="3"/>
  <c r="D21" i="3"/>
  <c r="D19" i="3"/>
  <c r="E19" i="3" s="1"/>
  <c r="D17" i="3"/>
  <c r="D15" i="3"/>
  <c r="D9" i="3"/>
  <c r="D8" i="3"/>
  <c r="E8" i="3" s="1"/>
  <c r="D7" i="3"/>
  <c r="D6" i="3"/>
  <c r="F6" i="3"/>
  <c r="I6" i="3"/>
  <c r="H6" i="3" s="1"/>
  <c r="F7" i="3"/>
  <c r="I7" i="3"/>
  <c r="H7" i="3" s="1"/>
  <c r="F8" i="3"/>
  <c r="H8" i="3"/>
  <c r="I8" i="3"/>
  <c r="E9" i="3"/>
  <c r="F9" i="3"/>
  <c r="H9" i="3"/>
  <c r="I9" i="3"/>
  <c r="I13" i="3" s="1"/>
  <c r="E10" i="3"/>
  <c r="F10" i="3"/>
  <c r="H10" i="3"/>
  <c r="I10" i="3"/>
  <c r="E11" i="3"/>
  <c r="F11" i="3"/>
  <c r="H11" i="3"/>
  <c r="I11" i="3"/>
  <c r="E12" i="3"/>
  <c r="F12" i="3"/>
  <c r="H12" i="3"/>
  <c r="I12" i="3"/>
  <c r="G13" i="3"/>
  <c r="F15" i="3"/>
  <c r="I15" i="3"/>
  <c r="H15" i="3" s="1"/>
  <c r="F17" i="3"/>
  <c r="I17" i="3"/>
  <c r="H17" i="3" s="1"/>
  <c r="F19" i="3"/>
  <c r="H19" i="3"/>
  <c r="I19" i="3"/>
  <c r="E21" i="3"/>
  <c r="F21" i="3"/>
  <c r="F24" i="3" s="1"/>
  <c r="H21" i="3"/>
  <c r="I21" i="3"/>
  <c r="E22" i="3"/>
  <c r="F22" i="3"/>
  <c r="H22" i="3"/>
  <c r="I22" i="3"/>
  <c r="F23" i="3"/>
  <c r="H23" i="3"/>
  <c r="I23" i="3"/>
  <c r="G24" i="3"/>
  <c r="H24" i="3" s="1"/>
  <c r="I24" i="3"/>
  <c r="E17" i="3" l="1"/>
  <c r="E15" i="3"/>
  <c r="E7" i="3"/>
  <c r="D13" i="3"/>
  <c r="D24" i="3" s="1"/>
  <c r="E24" i="3" s="1"/>
  <c r="E6" i="3"/>
  <c r="H13" i="3"/>
  <c r="F13" i="3"/>
  <c r="E13" i="3" l="1"/>
  <c r="L155" i="17" l="1"/>
  <c r="A495" i="15"/>
  <c r="A494" i="15"/>
  <c r="A493" i="15"/>
  <c r="E492" i="15"/>
  <c r="A492" i="15"/>
  <c r="E491" i="15"/>
  <c r="A491" i="15"/>
  <c r="E490" i="15"/>
  <c r="A490" i="15"/>
  <c r="E489" i="15"/>
  <c r="A489" i="15"/>
  <c r="B483" i="15"/>
  <c r="A481" i="15"/>
  <c r="A480" i="15"/>
  <c r="A479" i="15"/>
  <c r="AO478" i="15"/>
  <c r="AL478" i="15"/>
  <c r="AI478" i="15"/>
  <c r="AF478" i="15"/>
  <c r="AC478" i="15"/>
  <c r="Z478" i="15"/>
  <c r="W478" i="15"/>
  <c r="T478" i="15"/>
  <c r="Q478" i="15"/>
  <c r="N478" i="15"/>
  <c r="K478" i="15"/>
  <c r="H478" i="15"/>
  <c r="A478" i="15"/>
  <c r="E477" i="15"/>
  <c r="A477" i="15"/>
  <c r="E476" i="15"/>
  <c r="A476" i="15"/>
  <c r="E475" i="15"/>
  <c r="A475" i="15"/>
  <c r="AO474" i="15"/>
  <c r="AL474" i="15"/>
  <c r="AI474" i="15"/>
  <c r="AF474" i="15"/>
  <c r="AC474" i="15"/>
  <c r="Z474" i="15"/>
  <c r="W474" i="15"/>
  <c r="T474" i="15"/>
  <c r="Q474" i="15"/>
  <c r="N474" i="15"/>
  <c r="K474" i="15"/>
  <c r="H474" i="15"/>
  <c r="E474" i="15"/>
  <c r="A474" i="15"/>
  <c r="AO473" i="15"/>
  <c r="AL473" i="15"/>
  <c r="AI473" i="15"/>
  <c r="AF473" i="15"/>
  <c r="AC473" i="15"/>
  <c r="Z473" i="15"/>
  <c r="W473" i="15"/>
  <c r="T473" i="15"/>
  <c r="Q473" i="15"/>
  <c r="N473" i="15"/>
  <c r="K473" i="15"/>
  <c r="H473" i="15"/>
  <c r="A473" i="15"/>
  <c r="AO472" i="15"/>
  <c r="AL472" i="15"/>
  <c r="AI472" i="15"/>
  <c r="AF472" i="15"/>
  <c r="AC472" i="15"/>
  <c r="Z472" i="15"/>
  <c r="W472" i="15"/>
  <c r="T472" i="15"/>
  <c r="Q472" i="15"/>
  <c r="N472" i="15"/>
  <c r="K472" i="15"/>
  <c r="H472" i="15"/>
  <c r="A472" i="15"/>
  <c r="AO471" i="15"/>
  <c r="AL471" i="15"/>
  <c r="AI471" i="15"/>
  <c r="AF471" i="15"/>
  <c r="AC471" i="15"/>
  <c r="Z471" i="15"/>
  <c r="W471" i="15"/>
  <c r="T471" i="15"/>
  <c r="Q471" i="15"/>
  <c r="N471" i="15"/>
  <c r="K471" i="15"/>
  <c r="H471" i="15"/>
  <c r="A471" i="15"/>
  <c r="AO470" i="15"/>
  <c r="AL470" i="15"/>
  <c r="AI470" i="15"/>
  <c r="AF470" i="15"/>
  <c r="AC470" i="15"/>
  <c r="Z470" i="15"/>
  <c r="W470" i="15"/>
  <c r="T470" i="15"/>
  <c r="Q470" i="15"/>
  <c r="N470" i="15"/>
  <c r="K470" i="15"/>
  <c r="H470" i="15"/>
  <c r="E470" i="15" s="1"/>
  <c r="A470" i="15"/>
  <c r="AO469" i="15"/>
  <c r="AL469" i="15"/>
  <c r="AI469" i="15"/>
  <c r="AF469" i="15"/>
  <c r="AC469" i="15"/>
  <c r="Z469" i="15"/>
  <c r="W469" i="15"/>
  <c r="T469" i="15"/>
  <c r="Q469" i="15"/>
  <c r="N469" i="15"/>
  <c r="K469" i="15"/>
  <c r="H469" i="15"/>
  <c r="A469" i="15"/>
  <c r="AO468" i="15"/>
  <c r="AL468" i="15"/>
  <c r="AI468" i="15"/>
  <c r="AF468" i="15"/>
  <c r="AC468" i="15"/>
  <c r="Z468" i="15"/>
  <c r="W468" i="15"/>
  <c r="T468" i="15"/>
  <c r="Q468" i="15"/>
  <c r="N468" i="15"/>
  <c r="K468" i="15"/>
  <c r="H468" i="15"/>
  <c r="A468" i="15"/>
  <c r="E467" i="15"/>
  <c r="A467" i="15"/>
  <c r="A466" i="15"/>
  <c r="A465" i="15"/>
  <c r="AO464" i="15"/>
  <c r="AL464" i="15"/>
  <c r="AI464" i="15"/>
  <c r="AF464" i="15"/>
  <c r="AC464" i="15"/>
  <c r="Z464" i="15"/>
  <c r="W464" i="15"/>
  <c r="T464" i="15"/>
  <c r="Q464" i="15"/>
  <c r="N464" i="15"/>
  <c r="K464" i="15"/>
  <c r="H464" i="15"/>
  <c r="A464" i="15"/>
  <c r="E463" i="15"/>
  <c r="A463" i="15"/>
  <c r="E462" i="15"/>
  <c r="A462" i="15"/>
  <c r="E461" i="15"/>
  <c r="A461" i="15"/>
  <c r="E460" i="15"/>
  <c r="A460" i="15"/>
  <c r="E459" i="15"/>
  <c r="A459" i="15"/>
  <c r="E458" i="15"/>
  <c r="A458" i="15"/>
  <c r="E457" i="15"/>
  <c r="A457" i="15"/>
  <c r="E456" i="15"/>
  <c r="A456" i="15"/>
  <c r="E455" i="15"/>
  <c r="A455" i="15"/>
  <c r="E454" i="15"/>
  <c r="A454" i="15"/>
  <c r="E453" i="15"/>
  <c r="A453" i="15"/>
  <c r="E452" i="15"/>
  <c r="A452" i="15"/>
  <c r="E451" i="15"/>
  <c r="A451" i="15"/>
  <c r="A450" i="15"/>
  <c r="A449" i="15"/>
  <c r="A448" i="15"/>
  <c r="A447" i="15"/>
  <c r="A446" i="15"/>
  <c r="A445" i="15"/>
  <c r="A444" i="15"/>
  <c r="A443" i="15"/>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E419" i="15"/>
  <c r="A419" i="15"/>
  <c r="A418" i="15"/>
  <c r="A417" i="15"/>
  <c r="A416" i="15"/>
  <c r="A415" i="15"/>
  <c r="A414" i="15"/>
  <c r="A413" i="15"/>
  <c r="A412" i="15"/>
  <c r="A411" i="15"/>
  <c r="A410" i="15"/>
  <c r="A409" i="15"/>
  <c r="A408" i="15"/>
  <c r="A407" i="15"/>
  <c r="A406" i="15"/>
  <c r="A405" i="15"/>
  <c r="B401" i="15"/>
  <c r="A398" i="15"/>
  <c r="A397" i="15"/>
  <c r="A396" i="15"/>
  <c r="A395" i="15"/>
  <c r="AO394" i="15"/>
  <c r="AN394" i="15" s="1"/>
  <c r="AL394" i="15"/>
  <c r="AI394" i="15"/>
  <c r="AH394" i="15" s="1"/>
  <c r="AF394" i="15"/>
  <c r="AE394" i="15" s="1"/>
  <c r="AC394" i="15"/>
  <c r="AB394" i="15"/>
  <c r="Z394" i="15"/>
  <c r="Y394" i="15" s="1"/>
  <c r="W394" i="15"/>
  <c r="V394" i="15" s="1"/>
  <c r="T394" i="15"/>
  <c r="S394" i="15"/>
  <c r="Q394" i="15"/>
  <c r="P394" i="15" s="1"/>
  <c r="N394" i="15"/>
  <c r="M394" i="15" s="1"/>
  <c r="K394" i="15"/>
  <c r="J394" i="15" s="1"/>
  <c r="H394" i="15"/>
  <c r="G394" i="15" s="1"/>
  <c r="A394" i="15"/>
  <c r="E393" i="15"/>
  <c r="A393" i="15"/>
  <c r="E392" i="15"/>
  <c r="A392" i="15"/>
  <c r="E391" i="15"/>
  <c r="A391" i="15"/>
  <c r="E390" i="15"/>
  <c r="A390" i="15"/>
  <c r="E389" i="15"/>
  <c r="A389" i="15"/>
  <c r="E388" i="15"/>
  <c r="A388" i="15"/>
  <c r="E387" i="15"/>
  <c r="A387" i="15"/>
  <c r="E386" i="15"/>
  <c r="A386" i="15"/>
  <c r="E385" i="15"/>
  <c r="A385" i="15"/>
  <c r="E384" i="15"/>
  <c r="A384" i="15"/>
  <c r="E383" i="15"/>
  <c r="A383" i="15"/>
  <c r="E382" i="15"/>
  <c r="A382" i="15"/>
  <c r="E381" i="15"/>
  <c r="A381" i="15"/>
  <c r="E380" i="15"/>
  <c r="A380" i="15"/>
  <c r="E379" i="15"/>
  <c r="A379" i="15"/>
  <c r="E378" i="15"/>
  <c r="A378" i="15"/>
  <c r="E377" i="15"/>
  <c r="A377" i="15"/>
  <c r="AO376" i="15"/>
  <c r="AL376" i="15"/>
  <c r="AK376" i="15" s="1"/>
  <c r="AI376" i="15"/>
  <c r="AH376" i="15" s="1"/>
  <c r="AF376" i="15"/>
  <c r="AC376" i="15"/>
  <c r="AC396" i="15" s="1"/>
  <c r="AB396" i="15" s="1"/>
  <c r="AB376" i="15"/>
  <c r="Z376" i="15"/>
  <c r="Y376" i="15" s="1"/>
  <c r="W376" i="15"/>
  <c r="V376" i="15"/>
  <c r="T376" i="15"/>
  <c r="T396" i="15" s="1"/>
  <c r="S396" i="15" s="1"/>
  <c r="S376" i="15"/>
  <c r="Q376" i="15"/>
  <c r="P376" i="15" s="1"/>
  <c r="N376" i="15"/>
  <c r="K376" i="15"/>
  <c r="J376" i="15" s="1"/>
  <c r="H376" i="15"/>
  <c r="G376" i="15" s="1"/>
  <c r="A376" i="15"/>
  <c r="E375" i="15"/>
  <c r="A375" i="15"/>
  <c r="E374" i="15"/>
  <c r="A374" i="15"/>
  <c r="E373" i="15"/>
  <c r="A373" i="15"/>
  <c r="E372" i="15"/>
  <c r="A372" i="15"/>
  <c r="E371" i="15"/>
  <c r="A371" i="15"/>
  <c r="E370" i="15"/>
  <c r="A370" i="15"/>
  <c r="E369" i="15"/>
  <c r="A369" i="15"/>
  <c r="E368" i="15"/>
  <c r="A368" i="15"/>
  <c r="E367" i="15"/>
  <c r="A367" i="15"/>
  <c r="E366" i="15"/>
  <c r="A366" i="15"/>
  <c r="E365" i="15"/>
  <c r="A365" i="15"/>
  <c r="E364" i="15"/>
  <c r="E376" i="15" s="1"/>
  <c r="A364" i="15"/>
  <c r="A363" i="15"/>
  <c r="A362" i="15"/>
  <c r="AO361" i="15"/>
  <c r="AM361" i="15"/>
  <c r="AN361" i="15" s="1"/>
  <c r="AL361" i="15"/>
  <c r="AK361" i="15"/>
  <c r="AJ361" i="15"/>
  <c r="AI361" i="15"/>
  <c r="AG361" i="15"/>
  <c r="AH361" i="15" s="1"/>
  <c r="AF361" i="15"/>
  <c r="AD361" i="15"/>
  <c r="AE361" i="15" s="1"/>
  <c r="AC361" i="15"/>
  <c r="AC398" i="15" s="1"/>
  <c r="AB361" i="15"/>
  <c r="AA361" i="15"/>
  <c r="Z361" i="15"/>
  <c r="X361" i="15"/>
  <c r="Y361" i="15" s="1"/>
  <c r="W361" i="15"/>
  <c r="U361" i="15"/>
  <c r="V361" i="15" s="1"/>
  <c r="T361" i="15"/>
  <c r="R361" i="15"/>
  <c r="Q361" i="15"/>
  <c r="O361" i="15"/>
  <c r="P361" i="15" s="1"/>
  <c r="N361" i="15"/>
  <c r="L361" i="15"/>
  <c r="K361" i="15"/>
  <c r="I361" i="15"/>
  <c r="J361" i="15" s="1"/>
  <c r="H361" i="15"/>
  <c r="G361" i="15"/>
  <c r="F361" i="15"/>
  <c r="A361" i="15"/>
  <c r="A360" i="15"/>
  <c r="AN359" i="15"/>
  <c r="AK359" i="15"/>
  <c r="AH359" i="15"/>
  <c r="AE359" i="15"/>
  <c r="AB359" i="15"/>
  <c r="Y359" i="15"/>
  <c r="V359" i="15"/>
  <c r="S359" i="15"/>
  <c r="P359" i="15"/>
  <c r="M359" i="15"/>
  <c r="J359" i="15"/>
  <c r="G359" i="15"/>
  <c r="E359" i="15"/>
  <c r="E361" i="15" s="1"/>
  <c r="C359" i="15"/>
  <c r="A359" i="15"/>
  <c r="A352" i="15"/>
  <c r="A351" i="15"/>
  <c r="AF350" i="15"/>
  <c r="A350" i="15"/>
  <c r="A349" i="15"/>
  <c r="AO348" i="15"/>
  <c r="AL348" i="15"/>
  <c r="AI348" i="15"/>
  <c r="AI350" i="15" s="1"/>
  <c r="AF348" i="15"/>
  <c r="AC348" i="15"/>
  <c r="Z348" i="15"/>
  <c r="W348" i="15"/>
  <c r="T348" i="15"/>
  <c r="Q348" i="15"/>
  <c r="N348" i="15"/>
  <c r="K348" i="15"/>
  <c r="H348" i="15"/>
  <c r="A348" i="15"/>
  <c r="E347" i="15"/>
  <c r="A347" i="15"/>
  <c r="E346" i="15"/>
  <c r="A346" i="15"/>
  <c r="E345" i="15"/>
  <c r="A345" i="15"/>
  <c r="E344" i="15"/>
  <c r="A344" i="15"/>
  <c r="E343" i="15"/>
  <c r="A343" i="15"/>
  <c r="E342" i="15"/>
  <c r="A342" i="15"/>
  <c r="E341" i="15"/>
  <c r="A341" i="15"/>
  <c r="E340" i="15"/>
  <c r="A340" i="15"/>
  <c r="E339" i="15"/>
  <c r="A339" i="15"/>
  <c r="E338" i="15"/>
  <c r="A338" i="15"/>
  <c r="E337" i="15"/>
  <c r="A337" i="15"/>
  <c r="E336" i="15"/>
  <c r="A336" i="15"/>
  <c r="E335" i="15"/>
  <c r="A335" i="15"/>
  <c r="E334" i="15"/>
  <c r="A334" i="15"/>
  <c r="E333" i="15"/>
  <c r="A333" i="15"/>
  <c r="E332" i="15"/>
  <c r="A332" i="15"/>
  <c r="E331" i="15"/>
  <c r="E348" i="15" s="1"/>
  <c r="A331" i="15"/>
  <c r="AO330" i="15"/>
  <c r="AL330" i="15"/>
  <c r="AL350" i="15" s="1"/>
  <c r="AI330" i="15"/>
  <c r="AF330" i="15"/>
  <c r="AC330" i="15"/>
  <c r="Z330" i="15"/>
  <c r="Z350" i="15" s="1"/>
  <c r="W330" i="15"/>
  <c r="T330" i="15"/>
  <c r="T350" i="15" s="1"/>
  <c r="Q330" i="15"/>
  <c r="N330" i="15"/>
  <c r="K330" i="15"/>
  <c r="H330" i="15"/>
  <c r="H350" i="15" s="1"/>
  <c r="A330" i="15"/>
  <c r="E329" i="15"/>
  <c r="A329" i="15"/>
  <c r="E328" i="15"/>
  <c r="A328" i="15"/>
  <c r="E327" i="15"/>
  <c r="A327" i="15"/>
  <c r="E326" i="15"/>
  <c r="A326" i="15"/>
  <c r="E325" i="15"/>
  <c r="A325" i="15"/>
  <c r="E324" i="15"/>
  <c r="A324" i="15"/>
  <c r="E323" i="15"/>
  <c r="A323" i="15"/>
  <c r="E322" i="15"/>
  <c r="A322" i="15"/>
  <c r="E321" i="15"/>
  <c r="A321" i="15"/>
  <c r="E320" i="15"/>
  <c r="A320" i="15"/>
  <c r="E319" i="15"/>
  <c r="A319" i="15"/>
  <c r="E318" i="15"/>
  <c r="E330" i="15" s="1"/>
  <c r="A318" i="15"/>
  <c r="A317" i="15"/>
  <c r="A316" i="15"/>
  <c r="A315" i="15"/>
  <c r="A314" i="15"/>
  <c r="A313" i="15"/>
  <c r="AN312" i="15"/>
  <c r="AK312" i="15"/>
  <c r="AH312" i="15"/>
  <c r="AE312" i="15"/>
  <c r="AB312" i="15"/>
  <c r="Y312" i="15"/>
  <c r="V312" i="15"/>
  <c r="S312" i="15"/>
  <c r="P312" i="15"/>
  <c r="M312" i="15"/>
  <c r="J312" i="15"/>
  <c r="G312" i="15"/>
  <c r="D312" i="15"/>
  <c r="A312" i="15"/>
  <c r="A311" i="15"/>
  <c r="A310" i="15"/>
  <c r="Z309" i="15"/>
  <c r="Z314" i="15" s="1"/>
  <c r="P309" i="15"/>
  <c r="O309" i="15"/>
  <c r="O314" i="15" s="1"/>
  <c r="F309" i="15"/>
  <c r="F314" i="15" s="1"/>
  <c r="A309" i="15"/>
  <c r="AN308" i="15"/>
  <c r="AK308" i="15"/>
  <c r="AH308" i="15"/>
  <c r="AE308" i="15"/>
  <c r="AB308" i="15"/>
  <c r="Y308" i="15"/>
  <c r="V308" i="15"/>
  <c r="S308" i="15"/>
  <c r="P308" i="15"/>
  <c r="M308" i="15"/>
  <c r="J308" i="15"/>
  <c r="G308" i="15"/>
  <c r="E308" i="15"/>
  <c r="C308" i="15"/>
  <c r="A308" i="15"/>
  <c r="AN307" i="15"/>
  <c r="AK307" i="15"/>
  <c r="AH307" i="15"/>
  <c r="AE307" i="15"/>
  <c r="AB307" i="15"/>
  <c r="Y307" i="15"/>
  <c r="V307" i="15"/>
  <c r="S307" i="15"/>
  <c r="P307" i="15"/>
  <c r="M307" i="15"/>
  <c r="J307" i="15"/>
  <c r="G307" i="15"/>
  <c r="E307" i="15"/>
  <c r="C307" i="15"/>
  <c r="A307" i="15"/>
  <c r="A306" i="15"/>
  <c r="A305" i="15"/>
  <c r="AO304" i="15"/>
  <c r="AO309" i="15" s="1"/>
  <c r="AO314" i="15" s="1"/>
  <c r="AM304" i="15"/>
  <c r="AM309" i="15" s="1"/>
  <c r="AN309" i="15" s="1"/>
  <c r="AL304" i="15"/>
  <c r="AL309" i="15" s="1"/>
  <c r="AL314" i="15" s="1"/>
  <c r="AK330" i="15" s="1"/>
  <c r="AJ304" i="15"/>
  <c r="AI304" i="15"/>
  <c r="AI309" i="15" s="1"/>
  <c r="AI314" i="15" s="1"/>
  <c r="AG304" i="15"/>
  <c r="AF304" i="15"/>
  <c r="AF309" i="15" s="1"/>
  <c r="AD304" i="15"/>
  <c r="AD309" i="15" s="1"/>
  <c r="AD314" i="15" s="1"/>
  <c r="AC304" i="15"/>
  <c r="AC309" i="15" s="1"/>
  <c r="AC314" i="15" s="1"/>
  <c r="AA304" i="15"/>
  <c r="Z304" i="15"/>
  <c r="X304" i="15"/>
  <c r="W304" i="15"/>
  <c r="W309" i="15" s="1"/>
  <c r="W314" i="15" s="1"/>
  <c r="U304" i="15"/>
  <c r="T304" i="15"/>
  <c r="T309" i="15" s="1"/>
  <c r="T314" i="15" s="1"/>
  <c r="R304" i="15"/>
  <c r="S304" i="15" s="1"/>
  <c r="Q304" i="15"/>
  <c r="Q309" i="15" s="1"/>
  <c r="Q314" i="15" s="1"/>
  <c r="O304" i="15"/>
  <c r="N304" i="15"/>
  <c r="N309" i="15" s="1"/>
  <c r="N314" i="15" s="1"/>
  <c r="L304" i="15"/>
  <c r="L309" i="15" s="1"/>
  <c r="K304" i="15"/>
  <c r="K309" i="15" s="1"/>
  <c r="K314" i="15" s="1"/>
  <c r="I304" i="15"/>
  <c r="H304" i="15"/>
  <c r="H309" i="15" s="1"/>
  <c r="H314" i="15" s="1"/>
  <c r="F304" i="15"/>
  <c r="G304" i="15" s="1"/>
  <c r="A304" i="15"/>
  <c r="AN303" i="15"/>
  <c r="AK303" i="15"/>
  <c r="AH303" i="15"/>
  <c r="AE303" i="15"/>
  <c r="AB303" i="15"/>
  <c r="Y303" i="15"/>
  <c r="V303" i="15"/>
  <c r="S303" i="15"/>
  <c r="P303" i="15"/>
  <c r="M303" i="15"/>
  <c r="J303" i="15"/>
  <c r="G303" i="15"/>
  <c r="E303" i="15"/>
  <c r="C303" i="15"/>
  <c r="D303" i="15" s="1"/>
  <c r="A303" i="15"/>
  <c r="AN302" i="15"/>
  <c r="AK302" i="15"/>
  <c r="AH302" i="15"/>
  <c r="AE302" i="15"/>
  <c r="AB302" i="15"/>
  <c r="Y302" i="15"/>
  <c r="V302" i="15"/>
  <c r="S302" i="15"/>
  <c r="P302" i="15"/>
  <c r="M302" i="15"/>
  <c r="J302" i="15"/>
  <c r="G302" i="15"/>
  <c r="E302" i="15"/>
  <c r="C302" i="15"/>
  <c r="D302" i="15" s="1"/>
  <c r="A302" i="15"/>
  <c r="AN301" i="15"/>
  <c r="AK301" i="15"/>
  <c r="AH301" i="15"/>
  <c r="AE301" i="15"/>
  <c r="AB301" i="15"/>
  <c r="Y301" i="15"/>
  <c r="V301" i="15"/>
  <c r="S301" i="15"/>
  <c r="P301" i="15"/>
  <c r="M301" i="15"/>
  <c r="J301" i="15"/>
  <c r="G301" i="15"/>
  <c r="E301" i="15"/>
  <c r="C301" i="15"/>
  <c r="D301" i="15" s="1"/>
  <c r="A301" i="15"/>
  <c r="AN300" i="15"/>
  <c r="AK300" i="15"/>
  <c r="AH300" i="15"/>
  <c r="AE300" i="15"/>
  <c r="AB300" i="15"/>
  <c r="Y300" i="15"/>
  <c r="V300" i="15"/>
  <c r="S300" i="15"/>
  <c r="P300" i="15"/>
  <c r="M300" i="15"/>
  <c r="J300" i="15"/>
  <c r="G300" i="15"/>
  <c r="E300" i="15"/>
  <c r="D300" i="15" s="1"/>
  <c r="C300" i="15"/>
  <c r="A300" i="15"/>
  <c r="AN299" i="15"/>
  <c r="AK299" i="15"/>
  <c r="AH299" i="15"/>
  <c r="AE299" i="15"/>
  <c r="AB299" i="15"/>
  <c r="Y299" i="15"/>
  <c r="V299" i="15"/>
  <c r="S299" i="15"/>
  <c r="P299" i="15"/>
  <c r="M299" i="15"/>
  <c r="J299" i="15"/>
  <c r="G299" i="15"/>
  <c r="E299" i="15"/>
  <c r="D299" i="15" s="1"/>
  <c r="C299" i="15"/>
  <c r="A299" i="15"/>
  <c r="AN298" i="15"/>
  <c r="AK298" i="15"/>
  <c r="AH298" i="15"/>
  <c r="AE298" i="15"/>
  <c r="AB298" i="15"/>
  <c r="Y298" i="15"/>
  <c r="V298" i="15"/>
  <c r="S298" i="15"/>
  <c r="P298" i="15"/>
  <c r="M298" i="15"/>
  <c r="J298" i="15"/>
  <c r="G298" i="15"/>
  <c r="E298" i="15"/>
  <c r="C298" i="15"/>
  <c r="A298" i="15"/>
  <c r="AN297" i="15"/>
  <c r="AK297" i="15"/>
  <c r="AH297" i="15"/>
  <c r="AE297" i="15"/>
  <c r="AB297" i="15"/>
  <c r="Y297" i="15"/>
  <c r="V297" i="15"/>
  <c r="S297" i="15"/>
  <c r="P297" i="15"/>
  <c r="M297" i="15"/>
  <c r="J297" i="15"/>
  <c r="G297" i="15"/>
  <c r="E297" i="15"/>
  <c r="C297" i="15"/>
  <c r="A297" i="15"/>
  <c r="AN296" i="15"/>
  <c r="AK296" i="15"/>
  <c r="AH296" i="15"/>
  <c r="AE296" i="15"/>
  <c r="AB296" i="15"/>
  <c r="Y296" i="15"/>
  <c r="V296" i="15"/>
  <c r="S296" i="15"/>
  <c r="P296" i="15"/>
  <c r="M296" i="15"/>
  <c r="J296" i="15"/>
  <c r="G296" i="15"/>
  <c r="E296" i="15"/>
  <c r="C296" i="15"/>
  <c r="A296" i="15"/>
  <c r="AN295" i="15"/>
  <c r="AK295" i="15"/>
  <c r="AH295" i="15"/>
  <c r="AE295" i="15"/>
  <c r="AB295" i="15"/>
  <c r="Y295" i="15"/>
  <c r="V295" i="15"/>
  <c r="S295" i="15"/>
  <c r="P295" i="15"/>
  <c r="M295" i="15"/>
  <c r="J295" i="15"/>
  <c r="G295" i="15"/>
  <c r="E295" i="15"/>
  <c r="D295" i="15" s="1"/>
  <c r="C295" i="15"/>
  <c r="A295" i="15"/>
  <c r="A294" i="15"/>
  <c r="B291" i="15"/>
  <c r="B355" i="15" s="1"/>
  <c r="A289" i="15"/>
  <c r="A288" i="15"/>
  <c r="AO287" i="15"/>
  <c r="AN287" i="15" s="1"/>
  <c r="A287" i="15"/>
  <c r="A286" i="15"/>
  <c r="AO285" i="15"/>
  <c r="AN285" i="15" s="1"/>
  <c r="AL285" i="15"/>
  <c r="AK285" i="15" s="1"/>
  <c r="AI285" i="15"/>
  <c r="AF285" i="15"/>
  <c r="AE285" i="15" s="1"/>
  <c r="AC285" i="15"/>
  <c r="AB285" i="15" s="1"/>
  <c r="Z285" i="15"/>
  <c r="Y285" i="15" s="1"/>
  <c r="W285" i="15"/>
  <c r="V285" i="15" s="1"/>
  <c r="T285" i="15"/>
  <c r="S285" i="15" s="1"/>
  <c r="Q285" i="15"/>
  <c r="P285" i="15" s="1"/>
  <c r="N285" i="15"/>
  <c r="M285" i="15" s="1"/>
  <c r="K285" i="15"/>
  <c r="J285" i="15" s="1"/>
  <c r="H285" i="15"/>
  <c r="G285" i="15" s="1"/>
  <c r="A285" i="15"/>
  <c r="E284" i="15"/>
  <c r="A284" i="15"/>
  <c r="E283" i="15"/>
  <c r="A283" i="15"/>
  <c r="E282" i="15"/>
  <c r="A282" i="15"/>
  <c r="E281" i="15"/>
  <c r="A281" i="15"/>
  <c r="E280" i="15"/>
  <c r="A280" i="15"/>
  <c r="E279" i="15"/>
  <c r="A279" i="15"/>
  <c r="E278" i="15"/>
  <c r="A278" i="15"/>
  <c r="E277" i="15"/>
  <c r="A277" i="15"/>
  <c r="E276" i="15"/>
  <c r="A276" i="15"/>
  <c r="E275" i="15"/>
  <c r="A275" i="15"/>
  <c r="E274" i="15"/>
  <c r="A274" i="15"/>
  <c r="E273" i="15"/>
  <c r="A273" i="15"/>
  <c r="E272" i="15"/>
  <c r="A272" i="15"/>
  <c r="E271" i="15"/>
  <c r="A271" i="15"/>
  <c r="E270" i="15"/>
  <c r="A270" i="15"/>
  <c r="E269" i="15"/>
  <c r="A269" i="15"/>
  <c r="E268" i="15"/>
  <c r="E285" i="15" s="1"/>
  <c r="D285" i="15" s="1"/>
  <c r="A268" i="15"/>
  <c r="AO267" i="15"/>
  <c r="AN267" i="15" s="1"/>
  <c r="AL267" i="15"/>
  <c r="AK267" i="15"/>
  <c r="AI267" i="15"/>
  <c r="AH267" i="15"/>
  <c r="AF267" i="15"/>
  <c r="AE267" i="15" s="1"/>
  <c r="AC267" i="15"/>
  <c r="Z267" i="15"/>
  <c r="Z287" i="15" s="1"/>
  <c r="Y287" i="15" s="1"/>
  <c r="W267" i="15"/>
  <c r="V267" i="15" s="1"/>
  <c r="T267" i="15"/>
  <c r="S267" i="15" s="1"/>
  <c r="Q267" i="15"/>
  <c r="N267" i="15"/>
  <c r="K267" i="15"/>
  <c r="J267" i="15"/>
  <c r="H267" i="15"/>
  <c r="A267" i="15"/>
  <c r="E266" i="15"/>
  <c r="A266" i="15"/>
  <c r="E265" i="15"/>
  <c r="A265" i="15"/>
  <c r="E264" i="15"/>
  <c r="A264" i="15"/>
  <c r="E263" i="15"/>
  <c r="A263" i="15"/>
  <c r="E262" i="15"/>
  <c r="A262" i="15"/>
  <c r="E261" i="15"/>
  <c r="A261" i="15"/>
  <c r="E260" i="15"/>
  <c r="A260" i="15"/>
  <c r="E259" i="15"/>
  <c r="A259" i="15"/>
  <c r="E258" i="15"/>
  <c r="A258" i="15"/>
  <c r="E257" i="15"/>
  <c r="A257" i="15"/>
  <c r="E256" i="15"/>
  <c r="A256" i="15"/>
  <c r="E255" i="15"/>
  <c r="A255" i="15"/>
  <c r="A254" i="15"/>
  <c r="A253" i="15"/>
  <c r="A252" i="15"/>
  <c r="AO251" i="15"/>
  <c r="AO252" i="15" s="1"/>
  <c r="AN251" i="15"/>
  <c r="AL251" i="15"/>
  <c r="AK251" i="15"/>
  <c r="AI251" i="15"/>
  <c r="AI252" i="15" s="1"/>
  <c r="AH251" i="15"/>
  <c r="AF251" i="15"/>
  <c r="AE251" i="15"/>
  <c r="AF252" i="15" s="1"/>
  <c r="AC251" i="15"/>
  <c r="AC252" i="15" s="1"/>
  <c r="AB251" i="15"/>
  <c r="Z251" i="15"/>
  <c r="Y251" i="15"/>
  <c r="W251" i="15"/>
  <c r="W252" i="15" s="1"/>
  <c r="V251" i="15"/>
  <c r="T251" i="15"/>
  <c r="S251" i="15"/>
  <c r="Q251" i="15"/>
  <c r="P251" i="15"/>
  <c r="N251" i="15"/>
  <c r="M251" i="15"/>
  <c r="K251" i="15"/>
  <c r="J251" i="15"/>
  <c r="H251" i="15"/>
  <c r="G251" i="15"/>
  <c r="H252" i="15" s="1"/>
  <c r="A251" i="15"/>
  <c r="A250" i="15"/>
  <c r="AO249" i="15"/>
  <c r="AL249" i="15"/>
  <c r="AI249" i="15"/>
  <c r="AF249" i="15"/>
  <c r="AC249" i="15"/>
  <c r="Z249" i="15"/>
  <c r="W249" i="15"/>
  <c r="T249" i="15"/>
  <c r="Q249" i="15"/>
  <c r="N249" i="15"/>
  <c r="K249" i="15"/>
  <c r="H249" i="15"/>
  <c r="A249" i="15"/>
  <c r="E248" i="15"/>
  <c r="D248" i="15"/>
  <c r="C248" i="15"/>
  <c r="A248" i="15"/>
  <c r="A247" i="15"/>
  <c r="AO246" i="15"/>
  <c r="AL246" i="15"/>
  <c r="AI246" i="15"/>
  <c r="AF246" i="15"/>
  <c r="AC246" i="15"/>
  <c r="Z246" i="15"/>
  <c r="W246" i="15"/>
  <c r="T246" i="15"/>
  <c r="Q246" i="15"/>
  <c r="N246" i="15"/>
  <c r="K246" i="15"/>
  <c r="H246" i="15"/>
  <c r="A246" i="15"/>
  <c r="E245" i="15"/>
  <c r="E246" i="15" s="1"/>
  <c r="D245" i="15"/>
  <c r="C245" i="15"/>
  <c r="A245" i="15"/>
  <c r="A244" i="15"/>
  <c r="AO243" i="15"/>
  <c r="AL243" i="15"/>
  <c r="AI243" i="15"/>
  <c r="AF243" i="15"/>
  <c r="AC243" i="15"/>
  <c r="Z243" i="15"/>
  <c r="W243" i="15"/>
  <c r="T243" i="15"/>
  <c r="Q243" i="15"/>
  <c r="N243" i="15"/>
  <c r="K243" i="15"/>
  <c r="H243" i="15"/>
  <c r="A243" i="15"/>
  <c r="E242" i="15"/>
  <c r="D242" i="15"/>
  <c r="C242" i="15"/>
  <c r="A242" i="15"/>
  <c r="A241" i="15"/>
  <c r="A240" i="15"/>
  <c r="B237" i="15"/>
  <c r="A234" i="15"/>
  <c r="A233" i="15"/>
  <c r="AC232" i="15"/>
  <c r="Z232" i="15"/>
  <c r="A232" i="15"/>
  <c r="A231" i="15"/>
  <c r="AO230" i="15"/>
  <c r="AL230" i="15"/>
  <c r="AI230" i="15"/>
  <c r="AF230" i="15"/>
  <c r="AC230" i="15"/>
  <c r="Z230" i="15"/>
  <c r="W230" i="15"/>
  <c r="T230" i="15"/>
  <c r="Q230" i="15"/>
  <c r="N230" i="15"/>
  <c r="K230" i="15"/>
  <c r="H230" i="15"/>
  <c r="A230" i="15"/>
  <c r="E229" i="15"/>
  <c r="A229" i="15"/>
  <c r="E228" i="15"/>
  <c r="A228" i="15"/>
  <c r="E227" i="15"/>
  <c r="A227" i="15"/>
  <c r="E226" i="15"/>
  <c r="A226" i="15"/>
  <c r="E225" i="15"/>
  <c r="A225" i="15"/>
  <c r="E224" i="15"/>
  <c r="A224" i="15"/>
  <c r="E223" i="15"/>
  <c r="A223" i="15"/>
  <c r="E222" i="15"/>
  <c r="A222" i="15"/>
  <c r="E221" i="15"/>
  <c r="A221" i="15"/>
  <c r="E220" i="15"/>
  <c r="A220" i="15"/>
  <c r="E219" i="15"/>
  <c r="A219" i="15"/>
  <c r="E218" i="15"/>
  <c r="A218" i="15"/>
  <c r="E217" i="15"/>
  <c r="A217" i="15"/>
  <c r="E216" i="15"/>
  <c r="A216" i="15"/>
  <c r="E215" i="15"/>
  <c r="A215" i="15"/>
  <c r="E214" i="15"/>
  <c r="A214" i="15"/>
  <c r="E213" i="15"/>
  <c r="A213" i="15"/>
  <c r="AO212" i="15"/>
  <c r="AN212" i="15" s="1"/>
  <c r="AL212" i="15"/>
  <c r="AL232" i="15" s="1"/>
  <c r="AI212" i="15"/>
  <c r="AF212" i="15"/>
  <c r="AC212" i="15"/>
  <c r="Z212" i="15"/>
  <c r="W212" i="15"/>
  <c r="T212" i="15"/>
  <c r="Q212" i="15"/>
  <c r="Q232" i="15" s="1"/>
  <c r="N212" i="15"/>
  <c r="N232" i="15" s="1"/>
  <c r="K212" i="15"/>
  <c r="H212" i="15"/>
  <c r="A212" i="15"/>
  <c r="E211" i="15"/>
  <c r="A211" i="15"/>
  <c r="E210" i="15"/>
  <c r="A210" i="15"/>
  <c r="E209" i="15"/>
  <c r="A209" i="15"/>
  <c r="E208" i="15"/>
  <c r="A208" i="15"/>
  <c r="E207" i="15"/>
  <c r="A207" i="15"/>
  <c r="E206" i="15"/>
  <c r="A206" i="15"/>
  <c r="E205" i="15"/>
  <c r="A205" i="15"/>
  <c r="E204" i="15"/>
  <c r="A204" i="15"/>
  <c r="E203" i="15"/>
  <c r="A203" i="15"/>
  <c r="E202" i="15"/>
  <c r="A202" i="15"/>
  <c r="E201" i="15"/>
  <c r="A201" i="15"/>
  <c r="E200" i="15"/>
  <c r="A200" i="15"/>
  <c r="A199" i="15"/>
  <c r="A198" i="15"/>
  <c r="AC197" i="15"/>
  <c r="A197" i="15"/>
  <c r="AK196" i="15"/>
  <c r="AC196" i="15"/>
  <c r="AC234" i="15" s="1"/>
  <c r="T196" i="15"/>
  <c r="A196" i="15"/>
  <c r="A195" i="15"/>
  <c r="AO194" i="15"/>
  <c r="AL194" i="15"/>
  <c r="AI194" i="15"/>
  <c r="AF194" i="15"/>
  <c r="AC194" i="15"/>
  <c r="Z194" i="15"/>
  <c r="W194" i="15"/>
  <c r="T194" i="15"/>
  <c r="Q194" i="15"/>
  <c r="N194" i="15"/>
  <c r="K194" i="15"/>
  <c r="H194" i="15"/>
  <c r="A194" i="15"/>
  <c r="E193" i="15"/>
  <c r="E194" i="15" s="1"/>
  <c r="D193" i="15"/>
  <c r="C193" i="15"/>
  <c r="A193" i="15"/>
  <c r="A192" i="15"/>
  <c r="AO191" i="15"/>
  <c r="AL191" i="15"/>
  <c r="AI191" i="15"/>
  <c r="AF191" i="15"/>
  <c r="AC191" i="15"/>
  <c r="Z191" i="15"/>
  <c r="W191" i="15"/>
  <c r="T191" i="15"/>
  <c r="Q191" i="15"/>
  <c r="N191" i="15"/>
  <c r="K191" i="15"/>
  <c r="H191" i="15"/>
  <c r="A191" i="15"/>
  <c r="E190" i="15"/>
  <c r="D190" i="15"/>
  <c r="E191" i="15" s="1"/>
  <c r="C190" i="15"/>
  <c r="A190" i="15"/>
  <c r="A189" i="15"/>
  <c r="A188" i="15"/>
  <c r="AO187" i="15"/>
  <c r="AO196" i="15" s="1"/>
  <c r="AN187" i="15"/>
  <c r="AN196" i="15" s="1"/>
  <c r="AM187" i="15"/>
  <c r="AL187" i="15"/>
  <c r="AK187" i="15"/>
  <c r="AJ187" i="15"/>
  <c r="AI187" i="15"/>
  <c r="AI196" i="15" s="1"/>
  <c r="AH187" i="15"/>
  <c r="AG187" i="15"/>
  <c r="AF187" i="15"/>
  <c r="AE187" i="15"/>
  <c r="AE196" i="15" s="1"/>
  <c r="AD187" i="15"/>
  <c r="AE188" i="15" s="1"/>
  <c r="AC187" i="15"/>
  <c r="AB187" i="15"/>
  <c r="AB196" i="15" s="1"/>
  <c r="AA187" i="15"/>
  <c r="AB188" i="15" s="1"/>
  <c r="Z187" i="15"/>
  <c r="Y187" i="15"/>
  <c r="Y196" i="15" s="1"/>
  <c r="X187" i="15"/>
  <c r="W187" i="15"/>
  <c r="V187" i="15"/>
  <c r="V196" i="15" s="1"/>
  <c r="U187" i="15"/>
  <c r="T187" i="15"/>
  <c r="S187" i="15"/>
  <c r="R187" i="15"/>
  <c r="Q187" i="15"/>
  <c r="Q196" i="15" s="1"/>
  <c r="P212" i="15" s="1"/>
  <c r="P187" i="15"/>
  <c r="P196" i="15" s="1"/>
  <c r="O187" i="15"/>
  <c r="N187" i="15"/>
  <c r="M187" i="15"/>
  <c r="M188" i="15" s="1"/>
  <c r="L187" i="15"/>
  <c r="K187" i="15"/>
  <c r="K196" i="15" s="1"/>
  <c r="J187" i="15"/>
  <c r="I187" i="15"/>
  <c r="H187" i="15"/>
  <c r="G187" i="15"/>
  <c r="G196" i="15" s="1"/>
  <c r="F187" i="15"/>
  <c r="G188" i="15" s="1"/>
  <c r="A187" i="15"/>
  <c r="E186" i="15"/>
  <c r="A186" i="15"/>
  <c r="AN185" i="15"/>
  <c r="AK185" i="15"/>
  <c r="AH185" i="15"/>
  <c r="AE185" i="15"/>
  <c r="AB185" i="15"/>
  <c r="Y185" i="15"/>
  <c r="V185" i="15"/>
  <c r="S185" i="15"/>
  <c r="P185" i="15"/>
  <c r="M185" i="15"/>
  <c r="J185" i="15"/>
  <c r="G185" i="15"/>
  <c r="A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A184" i="15"/>
  <c r="E183" i="15"/>
  <c r="E184" i="15" s="1"/>
  <c r="D183" i="15"/>
  <c r="D185" i="15" s="1"/>
  <c r="C183" i="15"/>
  <c r="A183" i="15"/>
  <c r="AN182" i="15"/>
  <c r="AK182" i="15"/>
  <c r="AH182" i="15"/>
  <c r="AE182" i="15"/>
  <c r="AB182" i="15"/>
  <c r="Y182" i="15"/>
  <c r="V182" i="15"/>
  <c r="S182" i="15"/>
  <c r="P182" i="15"/>
  <c r="M182" i="15"/>
  <c r="J182" i="15"/>
  <c r="G182" i="15"/>
  <c r="A182" i="15"/>
  <c r="AO181" i="15"/>
  <c r="AL181" i="15"/>
  <c r="AI181" i="15"/>
  <c r="AF181" i="15"/>
  <c r="AC181" i="15"/>
  <c r="Z181" i="15"/>
  <c r="W181" i="15"/>
  <c r="T181" i="15"/>
  <c r="Q181" i="15"/>
  <c r="N181" i="15"/>
  <c r="K181" i="15"/>
  <c r="H181" i="15"/>
  <c r="E181" i="15"/>
  <c r="A181" i="15"/>
  <c r="E180" i="15"/>
  <c r="D180" i="15"/>
  <c r="C180" i="15"/>
  <c r="A180" i="15"/>
  <c r="AN179" i="15"/>
  <c r="AK179" i="15"/>
  <c r="AH179" i="15"/>
  <c r="AE179" i="15"/>
  <c r="AB179" i="15"/>
  <c r="Y179" i="15"/>
  <c r="V179" i="15"/>
  <c r="S179" i="15"/>
  <c r="P179" i="15"/>
  <c r="M179" i="15"/>
  <c r="J179" i="15"/>
  <c r="G179" i="15"/>
  <c r="A179" i="15"/>
  <c r="AO178" i="15"/>
  <c r="AL178" i="15"/>
  <c r="AI178" i="15"/>
  <c r="AF178" i="15"/>
  <c r="AC178" i="15"/>
  <c r="Z178" i="15"/>
  <c r="W178" i="15"/>
  <c r="T178" i="15"/>
  <c r="Q178" i="15"/>
  <c r="N178" i="15"/>
  <c r="K178" i="15"/>
  <c r="H178" i="15"/>
  <c r="E178" i="15"/>
  <c r="A178" i="15"/>
  <c r="E177" i="15"/>
  <c r="D177" i="15"/>
  <c r="C177" i="15"/>
  <c r="A177" i="15"/>
  <c r="AN176" i="15"/>
  <c r="AK176" i="15"/>
  <c r="AH176" i="15"/>
  <c r="AE176" i="15"/>
  <c r="AB176" i="15"/>
  <c r="Y176" i="15"/>
  <c r="V176" i="15"/>
  <c r="S176" i="15"/>
  <c r="P176" i="15"/>
  <c r="M176" i="15"/>
  <c r="J176" i="15"/>
  <c r="G176" i="15"/>
  <c r="A176" i="15"/>
  <c r="AO175" i="15"/>
  <c r="AL175" i="15"/>
  <c r="AI175" i="15"/>
  <c r="AF175" i="15"/>
  <c r="AC175" i="15"/>
  <c r="Z175" i="15"/>
  <c r="W175" i="15"/>
  <c r="T175" i="15"/>
  <c r="Q175" i="15"/>
  <c r="N175" i="15"/>
  <c r="K175" i="15"/>
  <c r="H175" i="15"/>
  <c r="A175" i="15"/>
  <c r="E174" i="15"/>
  <c r="E187" i="15" s="1"/>
  <c r="D174" i="15"/>
  <c r="D187" i="15" s="1"/>
  <c r="C174" i="15"/>
  <c r="A174" i="15"/>
  <c r="A173" i="15"/>
  <c r="B170" i="15"/>
  <c r="A167" i="15"/>
  <c r="A166" i="15"/>
  <c r="AO165" i="15"/>
  <c r="AL165" i="15"/>
  <c r="AI165" i="15"/>
  <c r="AF165" i="15"/>
  <c r="AC165" i="15"/>
  <c r="Z165" i="15"/>
  <c r="W165" i="15"/>
  <c r="T165" i="15"/>
  <c r="Q165" i="15"/>
  <c r="N165" i="15"/>
  <c r="K165" i="15"/>
  <c r="H165" i="15"/>
  <c r="A165" i="15"/>
  <c r="E164" i="15"/>
  <c r="A164" i="15"/>
  <c r="E163" i="15"/>
  <c r="A163" i="15"/>
  <c r="E162" i="15"/>
  <c r="A162" i="15"/>
  <c r="E161" i="15"/>
  <c r="A161" i="15"/>
  <c r="E160" i="15"/>
  <c r="A160" i="15"/>
  <c r="E159" i="15"/>
  <c r="A159" i="15"/>
  <c r="E158" i="15"/>
  <c r="A158" i="15"/>
  <c r="A157" i="15"/>
  <c r="A156" i="15"/>
  <c r="AO155" i="15"/>
  <c r="AL155" i="15"/>
  <c r="AI155" i="15"/>
  <c r="AF155" i="15"/>
  <c r="AC155" i="15"/>
  <c r="Z155" i="15"/>
  <c r="W155" i="15"/>
  <c r="T155" i="15"/>
  <c r="Q155" i="15"/>
  <c r="N155" i="15"/>
  <c r="N157" i="15" s="1"/>
  <c r="K155" i="15"/>
  <c r="H155" i="15"/>
  <c r="A155" i="15"/>
  <c r="E154" i="15"/>
  <c r="A154" i="15"/>
  <c r="E153" i="15"/>
  <c r="A153" i="15"/>
  <c r="E152" i="15"/>
  <c r="A152" i="15"/>
  <c r="E151" i="15"/>
  <c r="A151" i="15"/>
  <c r="E150" i="15"/>
  <c r="A150" i="15"/>
  <c r="E149" i="15"/>
  <c r="A149" i="15"/>
  <c r="E148" i="15"/>
  <c r="A148" i="15"/>
  <c r="E147" i="15"/>
  <c r="A147" i="15"/>
  <c r="E146" i="15"/>
  <c r="A146" i="15"/>
  <c r="E145" i="15"/>
  <c r="A145" i="15"/>
  <c r="E144" i="15"/>
  <c r="A144" i="15"/>
  <c r="E143" i="15"/>
  <c r="A143" i="15"/>
  <c r="E142" i="15"/>
  <c r="A142" i="15"/>
  <c r="E141" i="15"/>
  <c r="A141" i="15"/>
  <c r="E140" i="15"/>
  <c r="A140" i="15"/>
  <c r="E139" i="15"/>
  <c r="A139" i="15"/>
  <c r="E138" i="15"/>
  <c r="A138" i="15"/>
  <c r="AO137" i="15"/>
  <c r="AL137" i="15"/>
  <c r="AI137" i="15"/>
  <c r="AF137" i="15"/>
  <c r="AC137" i="15"/>
  <c r="Z137" i="15"/>
  <c r="W137" i="15"/>
  <c r="W157" i="15" s="1"/>
  <c r="T137" i="15"/>
  <c r="Q137" i="15"/>
  <c r="N137" i="15"/>
  <c r="K137" i="15"/>
  <c r="H137" i="15"/>
  <c r="A137" i="15"/>
  <c r="E136" i="15"/>
  <c r="A136" i="15"/>
  <c r="E135" i="15"/>
  <c r="A135" i="15"/>
  <c r="E134" i="15"/>
  <c r="A134" i="15"/>
  <c r="E133" i="15"/>
  <c r="A133" i="15"/>
  <c r="E132" i="15"/>
  <c r="A132" i="15"/>
  <c r="E131" i="15"/>
  <c r="A131" i="15"/>
  <c r="E130" i="15"/>
  <c r="A130" i="15"/>
  <c r="E129" i="15"/>
  <c r="A129" i="15"/>
  <c r="E128" i="15"/>
  <c r="A128" i="15"/>
  <c r="E127" i="15"/>
  <c r="A127" i="15"/>
  <c r="E126" i="15"/>
  <c r="A126" i="15"/>
  <c r="E125" i="15"/>
  <c r="A125" i="15"/>
  <c r="AO124" i="15"/>
  <c r="AL124" i="15"/>
  <c r="AI124" i="15"/>
  <c r="AF124" i="15"/>
  <c r="AF157" i="15" s="1"/>
  <c r="AC124" i="15"/>
  <c r="AC157" i="15" s="1"/>
  <c r="Z124" i="15"/>
  <c r="W124" i="15"/>
  <c r="T124" i="15"/>
  <c r="Q124" i="15"/>
  <c r="N124" i="15"/>
  <c r="K124" i="15"/>
  <c r="H124" i="15"/>
  <c r="A124" i="15"/>
  <c r="M123" i="15"/>
  <c r="E123" i="15"/>
  <c r="A123" i="15"/>
  <c r="Y122" i="15"/>
  <c r="V122" i="15"/>
  <c r="E122" i="15"/>
  <c r="A122" i="15"/>
  <c r="AH121" i="15"/>
  <c r="E121" i="15"/>
  <c r="A121" i="15"/>
  <c r="AN120" i="15"/>
  <c r="V120" i="15"/>
  <c r="M120" i="15"/>
  <c r="E120" i="15"/>
  <c r="A120" i="15"/>
  <c r="V119" i="15"/>
  <c r="E119" i="15"/>
  <c r="A119" i="15"/>
  <c r="S118" i="15"/>
  <c r="E118" i="15"/>
  <c r="A118" i="15"/>
  <c r="Y117" i="15"/>
  <c r="E117" i="15"/>
  <c r="A117" i="15"/>
  <c r="V116" i="15"/>
  <c r="E116" i="15"/>
  <c r="A116" i="15"/>
  <c r="AH115" i="15"/>
  <c r="V115" i="15"/>
  <c r="E115" i="15"/>
  <c r="E124" i="15" s="1"/>
  <c r="A115" i="15"/>
  <c r="V114" i="15"/>
  <c r="E114" i="15"/>
  <c r="A114" i="15"/>
  <c r="A113" i="15"/>
  <c r="A112" i="15"/>
  <c r="A111" i="15"/>
  <c r="AG110" i="15"/>
  <c r="A110" i="15"/>
  <c r="A109" i="15"/>
  <c r="A108" i="15"/>
  <c r="AO107" i="15"/>
  <c r="AL107" i="15"/>
  <c r="AI107" i="15"/>
  <c r="AF107" i="15"/>
  <c r="AD107" i="15"/>
  <c r="AE107" i="15" s="1"/>
  <c r="AC107" i="15"/>
  <c r="Z107" i="15"/>
  <c r="W107" i="15"/>
  <c r="T107" i="15"/>
  <c r="T110" i="15" s="1"/>
  <c r="Q107" i="15"/>
  <c r="Q110" i="15" s="1"/>
  <c r="N107" i="15"/>
  <c r="K107" i="15"/>
  <c r="H107" i="15"/>
  <c r="A107" i="15"/>
  <c r="AH106" i="15"/>
  <c r="AE106" i="15"/>
  <c r="J106" i="15"/>
  <c r="E106" i="15"/>
  <c r="A106" i="15"/>
  <c r="AE105" i="15"/>
  <c r="G105" i="15"/>
  <c r="E105" i="15"/>
  <c r="A105" i="15"/>
  <c r="Y104" i="15"/>
  <c r="M104" i="15"/>
  <c r="E104" i="15"/>
  <c r="A104" i="15"/>
  <c r="A103" i="15"/>
  <c r="AN102" i="15"/>
  <c r="AK102" i="15"/>
  <c r="AH102" i="15"/>
  <c r="AE102" i="15"/>
  <c r="AB102" i="15"/>
  <c r="Y102" i="15"/>
  <c r="V102" i="15"/>
  <c r="S102" i="15"/>
  <c r="P102" i="15"/>
  <c r="M102" i="15"/>
  <c r="J102" i="15"/>
  <c r="G102" i="15"/>
  <c r="E102" i="15"/>
  <c r="D102" i="15" s="1"/>
  <c r="C102" i="15"/>
  <c r="A102" i="15"/>
  <c r="A101" i="15"/>
  <c r="A100" i="15"/>
  <c r="AO99" i="15"/>
  <c r="AO110" i="15" s="1"/>
  <c r="AM99" i="15"/>
  <c r="AL99" i="15"/>
  <c r="AJ99" i="15"/>
  <c r="AI99" i="15"/>
  <c r="AG99" i="15"/>
  <c r="AH105" i="15" s="1"/>
  <c r="AF99" i="15"/>
  <c r="AF110" i="15" s="1"/>
  <c r="AE99" i="15"/>
  <c r="AD99" i="15"/>
  <c r="AE114" i="15" s="1"/>
  <c r="AC99" i="15"/>
  <c r="AA99" i="15"/>
  <c r="AA107" i="15" s="1"/>
  <c r="AB107" i="15" s="1"/>
  <c r="Z99" i="15"/>
  <c r="X99" i="15"/>
  <c r="Y123" i="15" s="1"/>
  <c r="W99" i="15"/>
  <c r="W110" i="15" s="1"/>
  <c r="V99" i="15"/>
  <c r="U99" i="15"/>
  <c r="V117" i="15" s="1"/>
  <c r="T99" i="15"/>
  <c r="R99" i="15"/>
  <c r="Q99" i="15"/>
  <c r="O99" i="15"/>
  <c r="P104" i="15" s="1"/>
  <c r="N99" i="15"/>
  <c r="L99" i="15"/>
  <c r="K99" i="15"/>
  <c r="I99" i="15"/>
  <c r="J121" i="15" s="1"/>
  <c r="H99" i="15"/>
  <c r="H110" i="15" s="1"/>
  <c r="G137" i="15" s="1"/>
  <c r="F99" i="15"/>
  <c r="G118" i="15" s="1"/>
  <c r="A99" i="15"/>
  <c r="AN98" i="15"/>
  <c r="AK98" i="15"/>
  <c r="AH98" i="15"/>
  <c r="AE98" i="15"/>
  <c r="AB98" i="15"/>
  <c r="Y98" i="15"/>
  <c r="V98" i="15"/>
  <c r="S98" i="15"/>
  <c r="P98" i="15"/>
  <c r="M98" i="15"/>
  <c r="J98" i="15"/>
  <c r="G98" i="15"/>
  <c r="E98" i="15"/>
  <c r="C98" i="15"/>
  <c r="D98" i="15" s="1"/>
  <c r="A98" i="15"/>
  <c r="AN97" i="15"/>
  <c r="AK97" i="15"/>
  <c r="AH97" i="15"/>
  <c r="AE97" i="15"/>
  <c r="AB97" i="15"/>
  <c r="Y97" i="15"/>
  <c r="V97" i="15"/>
  <c r="S97" i="15"/>
  <c r="P97" i="15"/>
  <c r="M97" i="15"/>
  <c r="J97" i="15"/>
  <c r="G97" i="15"/>
  <c r="E97" i="15"/>
  <c r="E99" i="15" s="1"/>
  <c r="C97" i="15"/>
  <c r="A97" i="15"/>
  <c r="E96" i="15"/>
  <c r="A96" i="15"/>
  <c r="B92" i="15"/>
  <c r="A88" i="15"/>
  <c r="A87" i="15"/>
  <c r="AO86" i="15"/>
  <c r="AL86" i="15"/>
  <c r="AI86" i="15"/>
  <c r="AF86" i="15"/>
  <c r="AC86" i="15"/>
  <c r="Z86" i="15"/>
  <c r="W86" i="15"/>
  <c r="T86" i="15"/>
  <c r="Q86" i="15"/>
  <c r="N86" i="15"/>
  <c r="K86" i="15"/>
  <c r="H86" i="15"/>
  <c r="A86" i="15"/>
  <c r="E85" i="15"/>
  <c r="A85" i="15"/>
  <c r="E84" i="15"/>
  <c r="A84" i="15"/>
  <c r="E83" i="15"/>
  <c r="A83" i="15"/>
  <c r="E82" i="15"/>
  <c r="A82" i="15"/>
  <c r="E81" i="15"/>
  <c r="A81" i="15"/>
  <c r="E80" i="15"/>
  <c r="A80" i="15"/>
  <c r="E79" i="15"/>
  <c r="A79" i="15"/>
  <c r="E78" i="15"/>
  <c r="E86" i="15" s="1"/>
  <c r="A78" i="15"/>
  <c r="A77" i="15"/>
  <c r="A76" i="15"/>
  <c r="AO75" i="15"/>
  <c r="AL75" i="15"/>
  <c r="AI75" i="15"/>
  <c r="AF75" i="15"/>
  <c r="AC75" i="15"/>
  <c r="Z75" i="15"/>
  <c r="W75" i="15"/>
  <c r="T75" i="15"/>
  <c r="Q75" i="15"/>
  <c r="N75" i="15"/>
  <c r="K75" i="15"/>
  <c r="H75" i="15"/>
  <c r="A75" i="15"/>
  <c r="E74" i="15"/>
  <c r="A74" i="15"/>
  <c r="E73" i="15"/>
  <c r="A73" i="15"/>
  <c r="E72" i="15"/>
  <c r="A72" i="15"/>
  <c r="E71" i="15"/>
  <c r="A71" i="15"/>
  <c r="E70" i="15"/>
  <c r="A70" i="15"/>
  <c r="E69" i="15"/>
  <c r="A69" i="15"/>
  <c r="E68" i="15"/>
  <c r="A68" i="15"/>
  <c r="E67" i="15"/>
  <c r="A67" i="15"/>
  <c r="E66" i="15"/>
  <c r="A66" i="15"/>
  <c r="E65" i="15"/>
  <c r="A65" i="15"/>
  <c r="E64" i="15"/>
  <c r="A64" i="15"/>
  <c r="E63" i="15"/>
  <c r="A63" i="15"/>
  <c r="E62" i="15"/>
  <c r="A62" i="15"/>
  <c r="E61" i="15"/>
  <c r="A61" i="15"/>
  <c r="E60" i="15"/>
  <c r="A60" i="15"/>
  <c r="E59" i="15"/>
  <c r="A59" i="15"/>
  <c r="E58" i="15"/>
  <c r="A58" i="15"/>
  <c r="AO57" i="15"/>
  <c r="AL57" i="15"/>
  <c r="AI57" i="15"/>
  <c r="AF57" i="15"/>
  <c r="AC57" i="15"/>
  <c r="AC77" i="15" s="1"/>
  <c r="Z57" i="15"/>
  <c r="W57" i="15"/>
  <c r="T57" i="15"/>
  <c r="Q57" i="15"/>
  <c r="N57" i="15"/>
  <c r="K57" i="15"/>
  <c r="H57" i="15"/>
  <c r="A57" i="15"/>
  <c r="E56" i="15"/>
  <c r="A56" i="15"/>
  <c r="E55" i="15"/>
  <c r="A55" i="15"/>
  <c r="E54" i="15"/>
  <c r="A54" i="15"/>
  <c r="E53" i="15"/>
  <c r="A53" i="15"/>
  <c r="E52" i="15"/>
  <c r="A52" i="15"/>
  <c r="E51" i="15"/>
  <c r="A51" i="15"/>
  <c r="E50" i="15"/>
  <c r="A50" i="15"/>
  <c r="E49" i="15"/>
  <c r="A49" i="15"/>
  <c r="E48" i="15"/>
  <c r="A48" i="15"/>
  <c r="E47" i="15"/>
  <c r="A47" i="15"/>
  <c r="E46" i="15"/>
  <c r="A46" i="15"/>
  <c r="E45" i="15"/>
  <c r="A45" i="15"/>
  <c r="AO44" i="15"/>
  <c r="AL44" i="15"/>
  <c r="AL77" i="15" s="1"/>
  <c r="AI44" i="15"/>
  <c r="AF44" i="15"/>
  <c r="AF77" i="15" s="1"/>
  <c r="AC44" i="15"/>
  <c r="Z44" i="15"/>
  <c r="Z77" i="15" s="1"/>
  <c r="W44" i="15"/>
  <c r="T44" i="15"/>
  <c r="Q44" i="15"/>
  <c r="N44" i="15"/>
  <c r="K44" i="15"/>
  <c r="H44" i="15"/>
  <c r="A44" i="15"/>
  <c r="AN43" i="15"/>
  <c r="AK43" i="15"/>
  <c r="AH43" i="15"/>
  <c r="AE43" i="15"/>
  <c r="AB43" i="15"/>
  <c r="Y43" i="15"/>
  <c r="V43" i="15"/>
  <c r="S43" i="15"/>
  <c r="P43" i="15"/>
  <c r="M43" i="15"/>
  <c r="J43" i="15"/>
  <c r="G43" i="15"/>
  <c r="E43" i="15"/>
  <c r="D43" i="15" s="1"/>
  <c r="A43" i="15"/>
  <c r="AN42" i="15"/>
  <c r="AK42" i="15"/>
  <c r="AH42" i="15"/>
  <c r="AE42" i="15"/>
  <c r="AB42" i="15"/>
  <c r="Y42" i="15"/>
  <c r="V42" i="15"/>
  <c r="S42" i="15"/>
  <c r="P42" i="15"/>
  <c r="M42" i="15"/>
  <c r="J42" i="15"/>
  <c r="G42" i="15"/>
  <c r="E42" i="15"/>
  <c r="D42" i="15"/>
  <c r="A42" i="15"/>
  <c r="AN41" i="15"/>
  <c r="AK41" i="15"/>
  <c r="AH41" i="15"/>
  <c r="AE41" i="15"/>
  <c r="AB41" i="15"/>
  <c r="Y41" i="15"/>
  <c r="V41" i="15"/>
  <c r="S41" i="15"/>
  <c r="P41" i="15"/>
  <c r="M41" i="15"/>
  <c r="J41" i="15"/>
  <c r="G41" i="15"/>
  <c r="E41" i="15"/>
  <c r="D41" i="15" s="1"/>
  <c r="A41" i="15"/>
  <c r="E40" i="15"/>
  <c r="A40" i="15"/>
  <c r="E39" i="15"/>
  <c r="A39" i="15"/>
  <c r="E38" i="15"/>
  <c r="A38" i="15"/>
  <c r="E37" i="15"/>
  <c r="A37" i="15"/>
  <c r="V36" i="15"/>
  <c r="E36" i="15"/>
  <c r="A36" i="15"/>
  <c r="X35" i="15"/>
  <c r="R35" i="15"/>
  <c r="E35" i="15"/>
  <c r="A35" i="15"/>
  <c r="X34" i="15"/>
  <c r="E34" i="15"/>
  <c r="A34" i="15"/>
  <c r="A33" i="15"/>
  <c r="A32" i="15"/>
  <c r="A31" i="15"/>
  <c r="AJ30" i="15"/>
  <c r="Z30" i="15"/>
  <c r="A30" i="15"/>
  <c r="A29" i="15"/>
  <c r="A28" i="15"/>
  <c r="AO27" i="15"/>
  <c r="AM35" i="15" s="1"/>
  <c r="AL27" i="15"/>
  <c r="AJ35" i="15" s="1"/>
  <c r="AI27" i="15"/>
  <c r="AG35" i="15" s="1"/>
  <c r="AF27" i="15"/>
  <c r="AD35" i="15" s="1"/>
  <c r="AD27" i="15"/>
  <c r="AE34" i="15" s="1"/>
  <c r="AC27" i="15"/>
  <c r="AA35" i="15" s="1"/>
  <c r="Z27" i="15"/>
  <c r="W27" i="15"/>
  <c r="U35" i="15" s="1"/>
  <c r="U27" i="15"/>
  <c r="T27" i="15"/>
  <c r="Q27" i="15"/>
  <c r="O35" i="15" s="1"/>
  <c r="N27" i="15"/>
  <c r="L35" i="15" s="1"/>
  <c r="K27" i="15"/>
  <c r="I35" i="15" s="1"/>
  <c r="H27" i="15"/>
  <c r="F35" i="15" s="1"/>
  <c r="A27" i="15"/>
  <c r="AE26" i="15"/>
  <c r="V26" i="15"/>
  <c r="E26" i="15"/>
  <c r="A26" i="15"/>
  <c r="E25" i="15"/>
  <c r="A25" i="15"/>
  <c r="V24" i="15"/>
  <c r="E24" i="15"/>
  <c r="A24" i="15"/>
  <c r="A23" i="15"/>
  <c r="E22" i="15"/>
  <c r="A22" i="15"/>
  <c r="A21" i="15"/>
  <c r="AN20" i="15"/>
  <c r="AK20" i="15"/>
  <c r="AH20" i="15"/>
  <c r="AE20" i="15"/>
  <c r="AB20" i="15"/>
  <c r="Y20" i="15"/>
  <c r="V20" i="15"/>
  <c r="S20" i="15"/>
  <c r="P20" i="15"/>
  <c r="M20" i="15"/>
  <c r="J20" i="15"/>
  <c r="G20" i="15"/>
  <c r="E20" i="15"/>
  <c r="C20" i="15"/>
  <c r="D20" i="15" s="1"/>
  <c r="A20" i="15"/>
  <c r="A19" i="15"/>
  <c r="AN18" i="15"/>
  <c r="AK18" i="15"/>
  <c r="AH18" i="15"/>
  <c r="AE18" i="15"/>
  <c r="AB18" i="15"/>
  <c r="Y18" i="15"/>
  <c r="V18" i="15"/>
  <c r="S18" i="15"/>
  <c r="P18" i="15"/>
  <c r="M18" i="15"/>
  <c r="J18" i="15"/>
  <c r="G18" i="15"/>
  <c r="E18" i="15"/>
  <c r="C18" i="15"/>
  <c r="D18" i="15" s="1"/>
  <c r="A18" i="15"/>
  <c r="A17" i="15"/>
  <c r="AO16" i="15"/>
  <c r="AM34" i="15" s="1"/>
  <c r="AM16" i="15"/>
  <c r="AL16" i="15"/>
  <c r="AJ34" i="15" s="1"/>
  <c r="AJ16" i="15"/>
  <c r="AJ27" i="15" s="1"/>
  <c r="AI16" i="15"/>
  <c r="AG34" i="15" s="1"/>
  <c r="AG16" i="15"/>
  <c r="AG30" i="15" s="1"/>
  <c r="AF16" i="15"/>
  <c r="AD34" i="15" s="1"/>
  <c r="AD16" i="15"/>
  <c r="AD30" i="15" s="1"/>
  <c r="AC16" i="15"/>
  <c r="AA34" i="15" s="1"/>
  <c r="AA16" i="15"/>
  <c r="Z16" i="15"/>
  <c r="X16" i="15"/>
  <c r="W16" i="15"/>
  <c r="V16" i="15"/>
  <c r="U16" i="15"/>
  <c r="V25" i="15" s="1"/>
  <c r="T16" i="15"/>
  <c r="R34" i="15" s="1"/>
  <c r="R16" i="15"/>
  <c r="Q16" i="15"/>
  <c r="O34" i="15" s="1"/>
  <c r="O16" i="15"/>
  <c r="O30" i="15" s="1"/>
  <c r="N16" i="15"/>
  <c r="L16" i="15"/>
  <c r="L30" i="15" s="1"/>
  <c r="K16" i="15"/>
  <c r="I34" i="15" s="1"/>
  <c r="I16" i="15"/>
  <c r="I30" i="15" s="1"/>
  <c r="H16" i="15"/>
  <c r="H30" i="15" s="1"/>
  <c r="F16" i="15"/>
  <c r="A16" i="15"/>
  <c r="AN15" i="15"/>
  <c r="AK15" i="15"/>
  <c r="AH15" i="15"/>
  <c r="AE15" i="15"/>
  <c r="AB15" i="15"/>
  <c r="Y15" i="15"/>
  <c r="V15" i="15"/>
  <c r="S15" i="15"/>
  <c r="P15" i="15"/>
  <c r="M15" i="15"/>
  <c r="J15" i="15"/>
  <c r="G15" i="15"/>
  <c r="E15" i="15"/>
  <c r="C15" i="15"/>
  <c r="D15" i="15" s="1"/>
  <c r="A15" i="15"/>
  <c r="AN14" i="15"/>
  <c r="AK14" i="15"/>
  <c r="AH14" i="15"/>
  <c r="AE14" i="15"/>
  <c r="AB14" i="15"/>
  <c r="Y14" i="15"/>
  <c r="V14" i="15"/>
  <c r="S14" i="15"/>
  <c r="P14" i="15"/>
  <c r="M14" i="15"/>
  <c r="J14" i="15"/>
  <c r="G14" i="15"/>
  <c r="E14" i="15"/>
  <c r="C14" i="15"/>
  <c r="D14" i="15" s="1"/>
  <c r="A14" i="15"/>
  <c r="AN13" i="15"/>
  <c r="AK13" i="15"/>
  <c r="AH13" i="15"/>
  <c r="AE13" i="15"/>
  <c r="AB13" i="15"/>
  <c r="Y13" i="15"/>
  <c r="V13" i="15"/>
  <c r="S13" i="15"/>
  <c r="P13" i="15"/>
  <c r="M13" i="15"/>
  <c r="J13" i="15"/>
  <c r="G13" i="15"/>
  <c r="E13" i="15"/>
  <c r="C13" i="15"/>
  <c r="D13" i="15" s="1"/>
  <c r="A13" i="15"/>
  <c r="AN12" i="15"/>
  <c r="AK12" i="15"/>
  <c r="AH12" i="15"/>
  <c r="AE12" i="15"/>
  <c r="AB12" i="15"/>
  <c r="Y12" i="15"/>
  <c r="V12" i="15"/>
  <c r="S12" i="15"/>
  <c r="P12" i="15"/>
  <c r="M12" i="15"/>
  <c r="J12" i="15"/>
  <c r="G12" i="15"/>
  <c r="E12" i="15"/>
  <c r="C12" i="15"/>
  <c r="D12" i="15" s="1"/>
  <c r="A12" i="15"/>
  <c r="AN11" i="15"/>
  <c r="AK11" i="15"/>
  <c r="AH11" i="15"/>
  <c r="AE11" i="15"/>
  <c r="AB11" i="15"/>
  <c r="Y11" i="15"/>
  <c r="V11" i="15"/>
  <c r="S11" i="15"/>
  <c r="P11" i="15"/>
  <c r="M11" i="15"/>
  <c r="J11" i="15"/>
  <c r="G11" i="15"/>
  <c r="E11" i="15"/>
  <c r="C11" i="15"/>
  <c r="D11" i="15" s="1"/>
  <c r="A11" i="15"/>
  <c r="AN10" i="15"/>
  <c r="AK10" i="15"/>
  <c r="AH10" i="15"/>
  <c r="AE10" i="15"/>
  <c r="AB10" i="15"/>
  <c r="Y10" i="15"/>
  <c r="V10" i="15"/>
  <c r="S10" i="15"/>
  <c r="P10" i="15"/>
  <c r="M10" i="15"/>
  <c r="J10" i="15"/>
  <c r="G10" i="15"/>
  <c r="E10" i="15"/>
  <c r="C10" i="15"/>
  <c r="A10" i="15"/>
  <c r="AN9" i="15"/>
  <c r="AK9" i="15"/>
  <c r="AH9" i="15"/>
  <c r="AE9" i="15"/>
  <c r="AB9" i="15"/>
  <c r="Y9" i="15"/>
  <c r="V9" i="15"/>
  <c r="S9" i="15"/>
  <c r="P9" i="15"/>
  <c r="M9" i="15"/>
  <c r="J9" i="15"/>
  <c r="G9" i="15"/>
  <c r="E9" i="15"/>
  <c r="C9" i="15"/>
  <c r="D9" i="15" s="1"/>
  <c r="A9" i="15"/>
  <c r="E8"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B1" i="15"/>
  <c r="AA30" i="15" l="1"/>
  <c r="AB25" i="15"/>
  <c r="AB26" i="15"/>
  <c r="AA27" i="15"/>
  <c r="AB39" i="15" s="1"/>
  <c r="Y330" i="15"/>
  <c r="Y348" i="15"/>
  <c r="E473" i="15"/>
  <c r="E16" i="15"/>
  <c r="E30" i="15" s="1"/>
  <c r="D57" i="15" s="1"/>
  <c r="F30" i="15"/>
  <c r="F27" i="15"/>
  <c r="G36" i="15" s="1"/>
  <c r="G26" i="15"/>
  <c r="S26" i="15"/>
  <c r="R27" i="15"/>
  <c r="S25" i="15"/>
  <c r="S24" i="15"/>
  <c r="W30" i="15"/>
  <c r="V44" i="15" s="1"/>
  <c r="AB16" i="15"/>
  <c r="N196" i="15"/>
  <c r="N188" i="15"/>
  <c r="Z196" i="15"/>
  <c r="Z197" i="15" s="1"/>
  <c r="Z188" i="15"/>
  <c r="AL196" i="15"/>
  <c r="AL197" i="15" s="1"/>
  <c r="AL188" i="15"/>
  <c r="N352" i="15"/>
  <c r="AE376" i="15"/>
  <c r="AF396" i="15"/>
  <c r="AE396" i="15" s="1"/>
  <c r="Z110" i="15"/>
  <c r="Y137" i="15" s="1"/>
  <c r="Y99" i="15"/>
  <c r="AK121" i="15"/>
  <c r="AK120" i="15"/>
  <c r="AK116" i="15"/>
  <c r="AK122" i="15"/>
  <c r="AK106" i="15"/>
  <c r="AK104" i="15"/>
  <c r="AK105" i="15"/>
  <c r="AK118" i="15"/>
  <c r="AJ110" i="15"/>
  <c r="D251" i="15"/>
  <c r="Q252" i="15"/>
  <c r="J304" i="15"/>
  <c r="I309" i="15"/>
  <c r="I314" i="15" s="1"/>
  <c r="R30" i="15"/>
  <c r="AK117" i="15"/>
  <c r="P232" i="15"/>
  <c r="Q234" i="15"/>
  <c r="AB212" i="15"/>
  <c r="AM30" i="15"/>
  <c r="AN24" i="15"/>
  <c r="E27" i="15"/>
  <c r="M121" i="15"/>
  <c r="M119" i="15"/>
  <c r="L110" i="15"/>
  <c r="M117" i="15"/>
  <c r="M106" i="15"/>
  <c r="M105" i="15"/>
  <c r="S123" i="15"/>
  <c r="S115" i="15"/>
  <c r="S105" i="15"/>
  <c r="G106" i="15"/>
  <c r="AB119" i="15"/>
  <c r="Q157" i="15"/>
  <c r="Q167" i="15" s="1"/>
  <c r="P124" i="15"/>
  <c r="D182" i="15"/>
  <c r="W188" i="15"/>
  <c r="K188" i="15"/>
  <c r="J230" i="15"/>
  <c r="E243" i="15"/>
  <c r="E249" i="15"/>
  <c r="G267" i="15"/>
  <c r="H287" i="15"/>
  <c r="H289" i="15" s="1"/>
  <c r="P267" i="15"/>
  <c r="Q287" i="15"/>
  <c r="P287" i="15" s="1"/>
  <c r="D376" i="15"/>
  <c r="Y25" i="15"/>
  <c r="Y16" i="15"/>
  <c r="V38" i="15"/>
  <c r="V40" i="15"/>
  <c r="Q77" i="15"/>
  <c r="Y77" i="15"/>
  <c r="S99" i="15"/>
  <c r="W167" i="15"/>
  <c r="AC110" i="15"/>
  <c r="AB124" i="15" s="1"/>
  <c r="AB157" i="15"/>
  <c r="Z157" i="15"/>
  <c r="Y157" i="15" s="1"/>
  <c r="D179" i="15"/>
  <c r="AH212" i="15"/>
  <c r="T252" i="15"/>
  <c r="M309" i="15"/>
  <c r="L314" i="15"/>
  <c r="M314" i="15" s="1"/>
  <c r="AN304" i="15"/>
  <c r="M330" i="15"/>
  <c r="Y350" i="15"/>
  <c r="N350" i="15"/>
  <c r="M350" i="15" s="1"/>
  <c r="AH350" i="15"/>
  <c r="Y24" i="15"/>
  <c r="V27" i="15"/>
  <c r="AO77" i="15"/>
  <c r="S114" i="15"/>
  <c r="M116" i="15"/>
  <c r="M118" i="15"/>
  <c r="C187" i="15"/>
  <c r="W196" i="15"/>
  <c r="V230" i="15" s="1"/>
  <c r="AK232" i="15"/>
  <c r="AB232" i="15"/>
  <c r="E267" i="15"/>
  <c r="D267" i="15" s="1"/>
  <c r="AF287" i="15"/>
  <c r="C304" i="15"/>
  <c r="C309" i="15" s="1"/>
  <c r="M304" i="15"/>
  <c r="Y304" i="15"/>
  <c r="X309" i="15"/>
  <c r="AJ309" i="15"/>
  <c r="AK304" i="15"/>
  <c r="P314" i="15"/>
  <c r="AK350" i="15"/>
  <c r="Q398" i="15"/>
  <c r="AK348" i="15"/>
  <c r="H479" i="15"/>
  <c r="T479" i="15"/>
  <c r="AF479" i="15"/>
  <c r="E471" i="15"/>
  <c r="E472" i="15"/>
  <c r="D10" i="15"/>
  <c r="P24" i="15"/>
  <c r="U30" i="15"/>
  <c r="N77" i="15"/>
  <c r="AI77" i="15"/>
  <c r="E57" i="15"/>
  <c r="D97" i="15"/>
  <c r="I110" i="15"/>
  <c r="U110" i="15"/>
  <c r="V110" i="15" s="1"/>
  <c r="Y114" i="15"/>
  <c r="J115" i="15"/>
  <c r="Y116" i="15"/>
  <c r="AE118" i="15"/>
  <c r="Y120" i="15"/>
  <c r="V123" i="15"/>
  <c r="H188" i="15"/>
  <c r="AF188" i="15"/>
  <c r="AN188" i="15"/>
  <c r="M196" i="15"/>
  <c r="N405" i="15" s="1"/>
  <c r="E212" i="15"/>
  <c r="E232" i="15" s="1"/>
  <c r="E230" i="15"/>
  <c r="K287" i="15"/>
  <c r="J287" i="15" s="1"/>
  <c r="D298" i="15"/>
  <c r="S350" i="15"/>
  <c r="S348" i="15"/>
  <c r="T398" i="15"/>
  <c r="AL396" i="15"/>
  <c r="AK396" i="15" s="1"/>
  <c r="E464" i="15"/>
  <c r="K479" i="15"/>
  <c r="AI479" i="15"/>
  <c r="E110" i="15"/>
  <c r="D124" i="15" s="1"/>
  <c r="AI110" i="15"/>
  <c r="AH137" i="15" s="1"/>
  <c r="E107" i="15"/>
  <c r="V106" i="15"/>
  <c r="O107" i="15"/>
  <c r="P107" i="15" s="1"/>
  <c r="P117" i="15"/>
  <c r="AH118" i="15"/>
  <c r="V121" i="15"/>
  <c r="J122" i="15"/>
  <c r="AI157" i="15"/>
  <c r="AH157" i="15" s="1"/>
  <c r="E165" i="15"/>
  <c r="D196" i="15"/>
  <c r="D176" i="15"/>
  <c r="AC188" i="15"/>
  <c r="AK188" i="15"/>
  <c r="K232" i="15"/>
  <c r="J232" i="15" s="1"/>
  <c r="P230" i="15"/>
  <c r="AB230" i="15"/>
  <c r="AN230" i="15"/>
  <c r="K252" i="15"/>
  <c r="D297" i="15"/>
  <c r="P304" i="15"/>
  <c r="AB304" i="15"/>
  <c r="AH304" i="15"/>
  <c r="AG309" i="15"/>
  <c r="K350" i="15"/>
  <c r="K352" i="15" s="1"/>
  <c r="W350" i="15"/>
  <c r="V350" i="15" s="1"/>
  <c r="Q396" i="15"/>
  <c r="P396" i="15" s="1"/>
  <c r="N479" i="15"/>
  <c r="Z479" i="15"/>
  <c r="AL479" i="15"/>
  <c r="E469" i="15"/>
  <c r="E478" i="15"/>
  <c r="G44" i="15"/>
  <c r="G75" i="15"/>
  <c r="C35" i="15"/>
  <c r="AK39" i="15"/>
  <c r="AK40" i="15"/>
  <c r="AK34" i="15"/>
  <c r="AK37" i="15"/>
  <c r="AK27" i="15"/>
  <c r="AK35" i="15"/>
  <c r="AK36" i="15"/>
  <c r="AK38" i="15"/>
  <c r="G57" i="15"/>
  <c r="AE40" i="15"/>
  <c r="AN122" i="15"/>
  <c r="AN105" i="15"/>
  <c r="AN118" i="15"/>
  <c r="AM110" i="15"/>
  <c r="AN110" i="15" s="1"/>
  <c r="AN106" i="15"/>
  <c r="AN99" i="15"/>
  <c r="AN115" i="15"/>
  <c r="AN116" i="15"/>
  <c r="E350" i="15"/>
  <c r="J16" i="15"/>
  <c r="AH16" i="15"/>
  <c r="AB24" i="15"/>
  <c r="G25" i="15"/>
  <c r="AE25" i="15"/>
  <c r="J26" i="15"/>
  <c r="AH26" i="15"/>
  <c r="G27" i="15"/>
  <c r="O27" i="15"/>
  <c r="AE27" i="15"/>
  <c r="AM27" i="15"/>
  <c r="Q30" i="15"/>
  <c r="F34" i="15"/>
  <c r="U34" i="15"/>
  <c r="AE36" i="15"/>
  <c r="S39" i="15"/>
  <c r="W77" i="15"/>
  <c r="V77" i="15" s="1"/>
  <c r="Y57" i="15"/>
  <c r="K110" i="15"/>
  <c r="AE119" i="15"/>
  <c r="AE122" i="15"/>
  <c r="AE115" i="15"/>
  <c r="AE120" i="15"/>
  <c r="AE116" i="15"/>
  <c r="AE117" i="15"/>
  <c r="AD110" i="15"/>
  <c r="AE110" i="15" s="1"/>
  <c r="AE104" i="15"/>
  <c r="AE121" i="15"/>
  <c r="AE123" i="15"/>
  <c r="F107" i="15"/>
  <c r="G107" i="15" s="1"/>
  <c r="AN117" i="15"/>
  <c r="AN119" i="15"/>
  <c r="P157" i="15"/>
  <c r="S137" i="15"/>
  <c r="P155" i="15"/>
  <c r="AN155" i="15"/>
  <c r="AF405" i="15"/>
  <c r="C16" i="15"/>
  <c r="S16" i="15"/>
  <c r="G24" i="15"/>
  <c r="AE24" i="15"/>
  <c r="J25" i="15"/>
  <c r="AH25" i="15"/>
  <c r="M26" i="15"/>
  <c r="AK26" i="15"/>
  <c r="X27" i="15"/>
  <c r="G34" i="15"/>
  <c r="V34" i="15"/>
  <c r="AB35" i="15"/>
  <c r="V39" i="15"/>
  <c r="G40" i="15"/>
  <c r="K77" i="15"/>
  <c r="Y44" i="15"/>
  <c r="Z449" i="15"/>
  <c r="T448" i="15"/>
  <c r="AL447" i="15"/>
  <c r="N447" i="15"/>
  <c r="AF446" i="15"/>
  <c r="H446" i="15"/>
  <c r="Z445" i="15"/>
  <c r="T444" i="15"/>
  <c r="AL443" i="15"/>
  <c r="N443" i="15"/>
  <c r="AF442" i="15"/>
  <c r="H442" i="15"/>
  <c r="Z441" i="15"/>
  <c r="T440" i="15"/>
  <c r="AL439" i="15"/>
  <c r="N439" i="15"/>
  <c r="AF438" i="15"/>
  <c r="H438" i="15"/>
  <c r="Z437" i="15"/>
  <c r="T436" i="15"/>
  <c r="AL435" i="15"/>
  <c r="N435" i="15"/>
  <c r="AF434" i="15"/>
  <c r="H434" i="15"/>
  <c r="Z433" i="15"/>
  <c r="AC431" i="15"/>
  <c r="W430" i="15"/>
  <c r="AO429" i="15"/>
  <c r="Q429" i="15"/>
  <c r="AI428" i="15"/>
  <c r="K428" i="15"/>
  <c r="AC427" i="15"/>
  <c r="W426" i="15"/>
  <c r="AO425" i="15"/>
  <c r="Q425" i="15"/>
  <c r="AI424" i="15"/>
  <c r="K424" i="15"/>
  <c r="AC423" i="15"/>
  <c r="W422" i="15"/>
  <c r="AO421" i="15"/>
  <c r="Q421" i="15"/>
  <c r="AI420" i="15"/>
  <c r="K420" i="15"/>
  <c r="W417" i="15"/>
  <c r="AO416" i="15"/>
  <c r="Q416" i="15"/>
  <c r="AI415" i="15"/>
  <c r="K415" i="15"/>
  <c r="AI414" i="15"/>
  <c r="AH414" i="15" s="1"/>
  <c r="W414" i="15"/>
  <c r="V414" i="15" s="1"/>
  <c r="W449" i="15"/>
  <c r="AO448" i="15"/>
  <c r="Q448" i="15"/>
  <c r="AI447" i="15"/>
  <c r="K447" i="15"/>
  <c r="AC446" i="15"/>
  <c r="W445" i="15"/>
  <c r="AO444" i="15"/>
  <c r="Q444" i="15"/>
  <c r="AI443" i="15"/>
  <c r="K443" i="15"/>
  <c r="AC442" i="15"/>
  <c r="W441" i="15"/>
  <c r="AO440" i="15"/>
  <c r="Q440" i="15"/>
  <c r="AI439" i="15"/>
  <c r="K439" i="15"/>
  <c r="AC438" i="15"/>
  <c r="W437" i="15"/>
  <c r="AO436" i="15"/>
  <c r="Q436" i="15"/>
  <c r="AI435" i="15"/>
  <c r="K435" i="15"/>
  <c r="AC434" i="15"/>
  <c r="W433" i="15"/>
  <c r="Z431" i="15"/>
  <c r="T430" i="15"/>
  <c r="AL429" i="15"/>
  <c r="N429" i="15"/>
  <c r="AF428" i="15"/>
  <c r="H428" i="15"/>
  <c r="Z427" i="15"/>
  <c r="T426" i="15"/>
  <c r="AL425" i="15"/>
  <c r="N425" i="15"/>
  <c r="AF424" i="15"/>
  <c r="H424" i="15"/>
  <c r="Z423" i="15"/>
  <c r="T422" i="15"/>
  <c r="AL421" i="15"/>
  <c r="N421" i="15"/>
  <c r="AF420" i="15"/>
  <c r="H420" i="15"/>
  <c r="T417" i="15"/>
  <c r="AL416" i="15"/>
  <c r="N416" i="15"/>
  <c r="T449" i="15"/>
  <c r="AL448" i="15"/>
  <c r="N448" i="15"/>
  <c r="AF447" i="15"/>
  <c r="H447" i="15"/>
  <c r="Z446" i="15"/>
  <c r="T445" i="15"/>
  <c r="AL444" i="15"/>
  <c r="N444" i="15"/>
  <c r="AF443" i="15"/>
  <c r="H443" i="15"/>
  <c r="Z442" i="15"/>
  <c r="T441" i="15"/>
  <c r="AL440" i="15"/>
  <c r="N440" i="15"/>
  <c r="AF439" i="15"/>
  <c r="H439" i="15"/>
  <c r="Z438" i="15"/>
  <c r="T437" i="15"/>
  <c r="AL436" i="15"/>
  <c r="N436" i="15"/>
  <c r="AF435" i="15"/>
  <c r="H435" i="15"/>
  <c r="Z434" i="15"/>
  <c r="T433" i="15"/>
  <c r="W431" i="15"/>
  <c r="AO430" i="15"/>
  <c r="Q430" i="15"/>
  <c r="AI429" i="15"/>
  <c r="K429" i="15"/>
  <c r="AC428" i="15"/>
  <c r="W427" i="15"/>
  <c r="AO426" i="15"/>
  <c r="Q426" i="15"/>
  <c r="AI425" i="15"/>
  <c r="K425" i="15"/>
  <c r="AC424" i="15"/>
  <c r="W423" i="15"/>
  <c r="AO422" i="15"/>
  <c r="Q422" i="15"/>
  <c r="AI421" i="15"/>
  <c r="K421" i="15"/>
  <c r="AC420" i="15"/>
  <c r="AO417" i="15"/>
  <c r="Q417" i="15"/>
  <c r="AI416" i="15"/>
  <c r="K416" i="15"/>
  <c r="AC415" i="15"/>
  <c r="AO449" i="15"/>
  <c r="Q449" i="15"/>
  <c r="AI448" i="15"/>
  <c r="K448" i="15"/>
  <c r="AC447" i="15"/>
  <c r="W446" i="15"/>
  <c r="AO445" i="15"/>
  <c r="Q445" i="15"/>
  <c r="AI444" i="15"/>
  <c r="K444" i="15"/>
  <c r="AC443" i="15"/>
  <c r="W442" i="15"/>
  <c r="AO441" i="15"/>
  <c r="Q441" i="15"/>
  <c r="AI440" i="15"/>
  <c r="K440" i="15"/>
  <c r="AC439" i="15"/>
  <c r="W438" i="15"/>
  <c r="AO437" i="15"/>
  <c r="Q437" i="15"/>
  <c r="AI436" i="15"/>
  <c r="K436" i="15"/>
  <c r="AC435" i="15"/>
  <c r="W434" i="15"/>
  <c r="AO433" i="15"/>
  <c r="Q433" i="15"/>
  <c r="T431" i="15"/>
  <c r="AL430" i="15"/>
  <c r="N430" i="15"/>
  <c r="AF429" i="15"/>
  <c r="H429" i="15"/>
  <c r="Z428" i="15"/>
  <c r="T427" i="15"/>
  <c r="AL426" i="15"/>
  <c r="N426" i="15"/>
  <c r="AF425" i="15"/>
  <c r="H425" i="15"/>
  <c r="Z424" i="15"/>
  <c r="T423" i="15"/>
  <c r="AL422" i="15"/>
  <c r="N422" i="15"/>
  <c r="AF421" i="15"/>
  <c r="H421" i="15"/>
  <c r="Z420" i="15"/>
  <c r="AL417" i="15"/>
  <c r="N417" i="15"/>
  <c r="AF416" i="15"/>
  <c r="H416" i="15"/>
  <c r="AL449" i="15"/>
  <c r="N449" i="15"/>
  <c r="AF448" i="15"/>
  <c r="H448" i="15"/>
  <c r="Z447" i="15"/>
  <c r="T446" i="15"/>
  <c r="AL445" i="15"/>
  <c r="N445" i="15"/>
  <c r="AF444" i="15"/>
  <c r="H444" i="15"/>
  <c r="Z443" i="15"/>
  <c r="T442" i="15"/>
  <c r="AL441" i="15"/>
  <c r="N441" i="15"/>
  <c r="AF440" i="15"/>
  <c r="H440" i="15"/>
  <c r="Z439" i="15"/>
  <c r="T438" i="15"/>
  <c r="AL437" i="15"/>
  <c r="N437" i="15"/>
  <c r="AF436" i="15"/>
  <c r="H436" i="15"/>
  <c r="Z435" i="15"/>
  <c r="T434" i="15"/>
  <c r="AL433" i="15"/>
  <c r="N433" i="15"/>
  <c r="AO431" i="15"/>
  <c r="Q431" i="15"/>
  <c r="AI430" i="15"/>
  <c r="K430" i="15"/>
  <c r="AC429" i="15"/>
  <c r="W428" i="15"/>
  <c r="AO427" i="15"/>
  <c r="Q427" i="15"/>
  <c r="AI426" i="15"/>
  <c r="K426" i="15"/>
  <c r="AC425" i="15"/>
  <c r="W424" i="15"/>
  <c r="AO423" i="15"/>
  <c r="Q423" i="15"/>
  <c r="AI422" i="15"/>
  <c r="K422" i="15"/>
  <c r="AC421" i="15"/>
  <c r="W420" i="15"/>
  <c r="AI417" i="15"/>
  <c r="K417" i="15"/>
  <c r="AC416" i="15"/>
  <c r="AI449" i="15"/>
  <c r="K449" i="15"/>
  <c r="AC448" i="15"/>
  <c r="W447" i="15"/>
  <c r="AO446" i="15"/>
  <c r="Q446" i="15"/>
  <c r="AI445" i="15"/>
  <c r="K445" i="15"/>
  <c r="AC444" i="15"/>
  <c r="W443" i="15"/>
  <c r="AO442" i="15"/>
  <c r="Q442" i="15"/>
  <c r="AI441" i="15"/>
  <c r="K441" i="15"/>
  <c r="AC440" i="15"/>
  <c r="W439" i="15"/>
  <c r="AO438" i="15"/>
  <c r="Q438" i="15"/>
  <c r="AI437" i="15"/>
  <c r="K437" i="15"/>
  <c r="AC436" i="15"/>
  <c r="W435" i="15"/>
  <c r="AO434" i="15"/>
  <c r="Q434" i="15"/>
  <c r="AI433" i="15"/>
  <c r="K433" i="15"/>
  <c r="AL431" i="15"/>
  <c r="N431" i="15"/>
  <c r="AF430" i="15"/>
  <c r="H430" i="15"/>
  <c r="Z429" i="15"/>
  <c r="T428" i="15"/>
  <c r="AL427" i="15"/>
  <c r="N427" i="15"/>
  <c r="AF426" i="15"/>
  <c r="H426" i="15"/>
  <c r="Z425" i="15"/>
  <c r="T424" i="15"/>
  <c r="AL423" i="15"/>
  <c r="N423" i="15"/>
  <c r="AF422" i="15"/>
  <c r="H422" i="15"/>
  <c r="Z421" i="15"/>
  <c r="T420" i="15"/>
  <c r="AF417" i="15"/>
  <c r="H417" i="15"/>
  <c r="AF449" i="15"/>
  <c r="H449" i="15"/>
  <c r="Z448" i="15"/>
  <c r="T447" i="15"/>
  <c r="AL446" i="15"/>
  <c r="N446" i="15"/>
  <c r="AF445" i="15"/>
  <c r="H445" i="15"/>
  <c r="Z444" i="15"/>
  <c r="T443" i="15"/>
  <c r="AL442" i="15"/>
  <c r="N442" i="15"/>
  <c r="AF441" i="15"/>
  <c r="H441" i="15"/>
  <c r="Z440" i="15"/>
  <c r="T439" i="15"/>
  <c r="AL438" i="15"/>
  <c r="N438" i="15"/>
  <c r="AF437" i="15"/>
  <c r="H437" i="15"/>
  <c r="Z436" i="15"/>
  <c r="T435" i="15"/>
  <c r="AL434" i="15"/>
  <c r="N434" i="15"/>
  <c r="AF433" i="15"/>
  <c r="H433" i="15"/>
  <c r="AI431" i="15"/>
  <c r="K431" i="15"/>
  <c r="AC430" i="15"/>
  <c r="W429" i="15"/>
  <c r="AO428" i="15"/>
  <c r="Q428" i="15"/>
  <c r="AI427" i="15"/>
  <c r="K427" i="15"/>
  <c r="AC426" i="15"/>
  <c r="W425" i="15"/>
  <c r="AO424" i="15"/>
  <c r="Q424" i="15"/>
  <c r="AI423" i="15"/>
  <c r="K423" i="15"/>
  <c r="AC422" i="15"/>
  <c r="W421" i="15"/>
  <c r="AO420" i="15"/>
  <c r="Q420" i="15"/>
  <c r="AC417" i="15"/>
  <c r="W416" i="15"/>
  <c r="AO415" i="15"/>
  <c r="Q415" i="15"/>
  <c r="K434" i="15"/>
  <c r="AL428" i="15"/>
  <c r="T425" i="15"/>
  <c r="Z422" i="15"/>
  <c r="Z416" i="15"/>
  <c r="T415" i="15"/>
  <c r="AL413" i="15"/>
  <c r="AK413" i="15" s="1"/>
  <c r="Z413" i="15"/>
  <c r="Y413" i="15" s="1"/>
  <c r="N413" i="15"/>
  <c r="M413" i="15" s="1"/>
  <c r="AI411" i="15"/>
  <c r="AH411" i="15" s="1"/>
  <c r="W411" i="15"/>
  <c r="V411" i="15" s="1"/>
  <c r="K411" i="15"/>
  <c r="J411" i="15" s="1"/>
  <c r="AF409" i="15"/>
  <c r="AE409" i="15" s="1"/>
  <c r="T409" i="15"/>
  <c r="S409" i="15" s="1"/>
  <c r="H409" i="15"/>
  <c r="AL408" i="15"/>
  <c r="Z408" i="15"/>
  <c r="W448" i="15"/>
  <c r="AC445" i="15"/>
  <c r="AI442" i="15"/>
  <c r="AO439" i="15"/>
  <c r="AF431" i="15"/>
  <c r="N428" i="15"/>
  <c r="T416" i="15"/>
  <c r="N415" i="15"/>
  <c r="T414" i="15"/>
  <c r="S414" i="15" s="1"/>
  <c r="H414" i="15"/>
  <c r="K442" i="15"/>
  <c r="Q439" i="15"/>
  <c r="W436" i="15"/>
  <c r="AC433" i="15"/>
  <c r="H431" i="15"/>
  <c r="AL424" i="15"/>
  <c r="T421" i="15"/>
  <c r="H415" i="15"/>
  <c r="AF414" i="15"/>
  <c r="AE414" i="15" s="1"/>
  <c r="AI413" i="15"/>
  <c r="AH413" i="15" s="1"/>
  <c r="W413" i="15"/>
  <c r="V413" i="15" s="1"/>
  <c r="K413" i="15"/>
  <c r="J413" i="15" s="1"/>
  <c r="AF411" i="15"/>
  <c r="AE411" i="15" s="1"/>
  <c r="T411" i="15"/>
  <c r="S411" i="15" s="1"/>
  <c r="H411" i="15"/>
  <c r="AO409" i="15"/>
  <c r="AN409" i="15" s="1"/>
  <c r="AC409" i="15"/>
  <c r="AB409" i="15" s="1"/>
  <c r="Q409" i="15"/>
  <c r="P409" i="15" s="1"/>
  <c r="AI408" i="15"/>
  <c r="W408" i="15"/>
  <c r="AO447" i="15"/>
  <c r="AF427" i="15"/>
  <c r="N424" i="15"/>
  <c r="Q414" i="15"/>
  <c r="P414" i="15" s="1"/>
  <c r="AL412" i="15"/>
  <c r="AK412" i="15" s="1"/>
  <c r="Z412" i="15"/>
  <c r="Y412" i="15" s="1"/>
  <c r="N412" i="15"/>
  <c r="M412" i="15" s="1"/>
  <c r="AI410" i="15"/>
  <c r="AH410" i="15" s="1"/>
  <c r="W410" i="15"/>
  <c r="V410" i="15" s="1"/>
  <c r="K410" i="15"/>
  <c r="J410" i="15" s="1"/>
  <c r="Q447" i="15"/>
  <c r="W444" i="15"/>
  <c r="AC441" i="15"/>
  <c r="AI438" i="15"/>
  <c r="AO435" i="15"/>
  <c r="Z430" i="15"/>
  <c r="H427" i="15"/>
  <c r="AL420" i="15"/>
  <c r="AL415" i="15"/>
  <c r="AC414" i="15"/>
  <c r="AB414" i="15" s="1"/>
  <c r="AF413" i="15"/>
  <c r="AE413" i="15" s="1"/>
  <c r="T413" i="15"/>
  <c r="S413" i="15" s="1"/>
  <c r="H413" i="15"/>
  <c r="AO411" i="15"/>
  <c r="AN411" i="15" s="1"/>
  <c r="AC411" i="15"/>
  <c r="AB411" i="15" s="1"/>
  <c r="Q411" i="15"/>
  <c r="P411" i="15" s="1"/>
  <c r="AL409" i="15"/>
  <c r="AK409" i="15" s="1"/>
  <c r="Z409" i="15"/>
  <c r="Y409" i="15" s="1"/>
  <c r="N409" i="15"/>
  <c r="M409" i="15" s="1"/>
  <c r="AF408" i="15"/>
  <c r="K438" i="15"/>
  <c r="Q435" i="15"/>
  <c r="AF423" i="15"/>
  <c r="N420" i="15"/>
  <c r="AF415" i="15"/>
  <c r="AO414" i="15"/>
  <c r="AN414" i="15" s="1"/>
  <c r="N414" i="15"/>
  <c r="M414" i="15" s="1"/>
  <c r="AI412" i="15"/>
  <c r="AH412" i="15" s="1"/>
  <c r="W412" i="15"/>
  <c r="V412" i="15" s="1"/>
  <c r="K412" i="15"/>
  <c r="J412" i="15" s="1"/>
  <c r="AF410" i="15"/>
  <c r="AE410" i="15" s="1"/>
  <c r="AC449" i="15"/>
  <c r="AI446" i="15"/>
  <c r="AO443" i="15"/>
  <c r="T429" i="15"/>
  <c r="Z426" i="15"/>
  <c r="H423" i="15"/>
  <c r="Z417" i="15"/>
  <c r="Z415" i="15"/>
  <c r="Z414" i="15"/>
  <c r="Y414" i="15" s="1"/>
  <c r="AO413" i="15"/>
  <c r="AN413" i="15" s="1"/>
  <c r="AC413" i="15"/>
  <c r="AB413" i="15" s="1"/>
  <c r="Q413" i="15"/>
  <c r="P413" i="15" s="1"/>
  <c r="AL411" i="15"/>
  <c r="AK411" i="15" s="1"/>
  <c r="Z411" i="15"/>
  <c r="Y411" i="15" s="1"/>
  <c r="N411" i="15"/>
  <c r="M411" i="15" s="1"/>
  <c r="AI409" i="15"/>
  <c r="AH409" i="15" s="1"/>
  <c r="W409" i="15"/>
  <c r="V409" i="15" s="1"/>
  <c r="K409" i="15"/>
  <c r="J409" i="15" s="1"/>
  <c r="AO408" i="15"/>
  <c r="AC408" i="15"/>
  <c r="W415" i="15"/>
  <c r="AC412" i="15"/>
  <c r="AB412" i="15" s="1"/>
  <c r="Z410" i="15"/>
  <c r="Y410" i="15" s="1"/>
  <c r="Q408" i="15"/>
  <c r="T412" i="15"/>
  <c r="S412" i="15" s="1"/>
  <c r="T410" i="15"/>
  <c r="S410" i="15" s="1"/>
  <c r="K446" i="15"/>
  <c r="W440" i="15"/>
  <c r="AI434" i="15"/>
  <c r="AL414" i="15"/>
  <c r="AK414" i="15" s="1"/>
  <c r="Q412" i="15"/>
  <c r="P412" i="15" s="1"/>
  <c r="Q410" i="15"/>
  <c r="P410" i="15" s="1"/>
  <c r="N408" i="15"/>
  <c r="H412" i="15"/>
  <c r="N410" i="15"/>
  <c r="M410" i="15" s="1"/>
  <c r="K414" i="15"/>
  <c r="J414" i="15" s="1"/>
  <c r="H410" i="15"/>
  <c r="K408" i="15"/>
  <c r="AO410" i="15"/>
  <c r="AN410" i="15" s="1"/>
  <c r="H408" i="15"/>
  <c r="Q443" i="15"/>
  <c r="AC437" i="15"/>
  <c r="AO412" i="15"/>
  <c r="AN412" i="15" s="1"/>
  <c r="AL410" i="15"/>
  <c r="AK410" i="15" s="1"/>
  <c r="T408" i="15"/>
  <c r="AF412" i="15"/>
  <c r="AE412" i="15" s="1"/>
  <c r="AB123" i="15"/>
  <c r="S155" i="15"/>
  <c r="E44" i="15"/>
  <c r="J24" i="15"/>
  <c r="AH24" i="15"/>
  <c r="M25" i="15"/>
  <c r="AK25" i="15"/>
  <c r="P26" i="15"/>
  <c r="AN26" i="15"/>
  <c r="I27" i="15"/>
  <c r="AG27" i="15"/>
  <c r="AC30" i="15"/>
  <c r="AB75" i="15" s="1"/>
  <c r="AO30" i="15"/>
  <c r="S37" i="15"/>
  <c r="AK75" i="15"/>
  <c r="P77" i="15"/>
  <c r="N110" i="15"/>
  <c r="AE155" i="15"/>
  <c r="AF167" i="15"/>
  <c r="AE157" i="15"/>
  <c r="AE137" i="15"/>
  <c r="AB104" i="15"/>
  <c r="AB105" i="15"/>
  <c r="J110" i="15"/>
  <c r="AC167" i="15"/>
  <c r="AB155" i="15"/>
  <c r="AB137" i="15"/>
  <c r="AN114" i="15"/>
  <c r="G121" i="15"/>
  <c r="AN123" i="15"/>
  <c r="V124" i="15"/>
  <c r="AN124" i="15"/>
  <c r="E155" i="15"/>
  <c r="J330" i="15"/>
  <c r="V304" i="15"/>
  <c r="U309" i="15"/>
  <c r="M16" i="15"/>
  <c r="AK16" i="15"/>
  <c r="M24" i="15"/>
  <c r="AK24" i="15"/>
  <c r="P25" i="15"/>
  <c r="AN25" i="15"/>
  <c r="T30" i="15"/>
  <c r="AF30" i="15"/>
  <c r="AE77" i="15" s="1"/>
  <c r="V37" i="15"/>
  <c r="S40" i="15"/>
  <c r="E75" i="15"/>
  <c r="AN75" i="15"/>
  <c r="T77" i="15"/>
  <c r="S77" i="15" s="1"/>
  <c r="C99" i="15"/>
  <c r="P122" i="15"/>
  <c r="P118" i="15"/>
  <c r="P105" i="15"/>
  <c r="P121" i="15"/>
  <c r="O110" i="15"/>
  <c r="P110" i="15" s="1"/>
  <c r="P106" i="15"/>
  <c r="P123" i="15"/>
  <c r="P99" i="15"/>
  <c r="P115" i="15"/>
  <c r="P120" i="15"/>
  <c r="P116" i="15"/>
  <c r="AM107" i="15"/>
  <c r="AN107" i="15" s="1"/>
  <c r="C114" i="15"/>
  <c r="D296" i="15"/>
  <c r="E304" i="15"/>
  <c r="E309" i="15" s="1"/>
  <c r="E314" i="15" s="1"/>
  <c r="E352" i="15" s="1"/>
  <c r="AC410" i="15"/>
  <c r="AB410" i="15" s="1"/>
  <c r="G30" i="15"/>
  <c r="N30" i="15"/>
  <c r="AL30" i="15"/>
  <c r="AK30" i="15" s="1"/>
  <c r="AB37" i="15"/>
  <c r="K30" i="15"/>
  <c r="J30" i="15" s="1"/>
  <c r="L34" i="15"/>
  <c r="AE39" i="15"/>
  <c r="P44" i="15"/>
  <c r="G119" i="15"/>
  <c r="G122" i="15"/>
  <c r="G120" i="15"/>
  <c r="G115" i="15"/>
  <c r="G116" i="15"/>
  <c r="G117" i="15"/>
  <c r="F110" i="15"/>
  <c r="G110" i="15" s="1"/>
  <c r="G104" i="15"/>
  <c r="AN104" i="15"/>
  <c r="G114" i="15"/>
  <c r="H157" i="15"/>
  <c r="G157" i="15" s="1"/>
  <c r="G124" i="15"/>
  <c r="G155" i="15"/>
  <c r="G37" i="15"/>
  <c r="G38" i="15"/>
  <c r="G35" i="15"/>
  <c r="H77" i="15"/>
  <c r="G77" i="15" s="1"/>
  <c r="G16" i="15"/>
  <c r="AE16" i="15"/>
  <c r="Y26" i="15"/>
  <c r="L27" i="15"/>
  <c r="X30" i="15"/>
  <c r="Y30" i="15" s="1"/>
  <c r="V35" i="15"/>
  <c r="S38" i="15"/>
  <c r="Y75" i="15"/>
  <c r="G99" i="15"/>
  <c r="Y155" i="15"/>
  <c r="Y124" i="15"/>
  <c r="P137" i="15"/>
  <c r="P114" i="15"/>
  <c r="P119" i="15"/>
  <c r="AN121" i="15"/>
  <c r="J137" i="15"/>
  <c r="V157" i="15"/>
  <c r="AE37" i="15"/>
  <c r="AE38" i="15"/>
  <c r="AE35" i="15"/>
  <c r="P16" i="15"/>
  <c r="AN16" i="15"/>
  <c r="AI30" i="15"/>
  <c r="AH30" i="15" s="1"/>
  <c r="G39" i="15"/>
  <c r="V57" i="15"/>
  <c r="Z88" i="15"/>
  <c r="AB118" i="15"/>
  <c r="AB121" i="15"/>
  <c r="AB114" i="15"/>
  <c r="AB115" i="15"/>
  <c r="AB122" i="15"/>
  <c r="AB120" i="15"/>
  <c r="AB116" i="15"/>
  <c r="AA110" i="15"/>
  <c r="AB110" i="15" s="1"/>
  <c r="AB106" i="15"/>
  <c r="AB99" i="15"/>
  <c r="AL110" i="15"/>
  <c r="AK137" i="15" s="1"/>
  <c r="AK99" i="15"/>
  <c r="S124" i="15"/>
  <c r="AN137" i="15"/>
  <c r="AB117" i="15"/>
  <c r="G123" i="15"/>
  <c r="M137" i="15"/>
  <c r="AL157" i="15"/>
  <c r="N287" i="15"/>
  <c r="M287" i="15" s="1"/>
  <c r="M267" i="15"/>
  <c r="S104" i="15"/>
  <c r="V105" i="15"/>
  <c r="Y106" i="15"/>
  <c r="L107" i="15"/>
  <c r="M107" i="15" s="1"/>
  <c r="AJ107" i="15"/>
  <c r="AK107" i="15" s="1"/>
  <c r="R110" i="15"/>
  <c r="S110" i="15" s="1"/>
  <c r="J114" i="15"/>
  <c r="AH114" i="15"/>
  <c r="M115" i="15"/>
  <c r="AK115" i="15"/>
  <c r="S117" i="15"/>
  <c r="V118" i="15"/>
  <c r="AH119" i="15"/>
  <c r="Y121" i="15"/>
  <c r="M122" i="15"/>
  <c r="J124" i="15"/>
  <c r="V155" i="15"/>
  <c r="AO157" i="15"/>
  <c r="AN157" i="15" s="1"/>
  <c r="H196" i="15"/>
  <c r="AF196" i="15"/>
  <c r="AE212" i="15" s="1"/>
  <c r="AE230" i="15"/>
  <c r="M232" i="15"/>
  <c r="K289" i="15"/>
  <c r="V330" i="15"/>
  <c r="W352" i="15"/>
  <c r="AI352" i="15"/>
  <c r="AH348" i="15"/>
  <c r="AH330" i="15"/>
  <c r="G314" i="15"/>
  <c r="G350" i="15"/>
  <c r="AB330" i="15"/>
  <c r="AC350" i="15"/>
  <c r="AB350" i="15" s="1"/>
  <c r="Z398" i="15"/>
  <c r="M99" i="15"/>
  <c r="V104" i="15"/>
  <c r="Y105" i="15"/>
  <c r="U107" i="15"/>
  <c r="V107" i="15" s="1"/>
  <c r="M114" i="15"/>
  <c r="AK114" i="15"/>
  <c r="S116" i="15"/>
  <c r="Y118" i="15"/>
  <c r="J119" i="15"/>
  <c r="AK119" i="15"/>
  <c r="S120" i="15"/>
  <c r="S122" i="15"/>
  <c r="AK123" i="15"/>
  <c r="J155" i="15"/>
  <c r="K157" i="15"/>
  <c r="J157" i="15" s="1"/>
  <c r="N234" i="15"/>
  <c r="M212" i="15"/>
  <c r="AL234" i="15"/>
  <c r="AK212" i="15"/>
  <c r="P188" i="15"/>
  <c r="S212" i="15"/>
  <c r="T232" i="15"/>
  <c r="S232" i="15" s="1"/>
  <c r="AH230" i="15"/>
  <c r="G309" i="15"/>
  <c r="AL352" i="15"/>
  <c r="H405" i="15"/>
  <c r="AN376" i="15"/>
  <c r="AO396" i="15"/>
  <c r="AN396" i="15" s="1"/>
  <c r="Q197" i="15"/>
  <c r="AK230" i="15"/>
  <c r="N289" i="15"/>
  <c r="N252" i="15"/>
  <c r="Z289" i="15"/>
  <c r="Z252" i="15"/>
  <c r="AL252" i="15"/>
  <c r="E287" i="15"/>
  <c r="D287" i="15" s="1"/>
  <c r="J314" i="15"/>
  <c r="AM314" i="15"/>
  <c r="J348" i="15"/>
  <c r="T234" i="15"/>
  <c r="S230" i="15"/>
  <c r="S361" i="15"/>
  <c r="J105" i="15"/>
  <c r="X107" i="15"/>
  <c r="Y107" i="15" s="1"/>
  <c r="Y115" i="15"/>
  <c r="J118" i="15"/>
  <c r="S119" i="15"/>
  <c r="AE124" i="15"/>
  <c r="E137" i="15"/>
  <c r="E196" i="15"/>
  <c r="E188" i="15"/>
  <c r="Q188" i="15"/>
  <c r="Y188" i="15"/>
  <c r="AO188" i="15"/>
  <c r="G212" i="15"/>
  <c r="H232" i="15"/>
  <c r="G232" i="15" s="1"/>
  <c r="AB267" i="15"/>
  <c r="AC287" i="15"/>
  <c r="AB287" i="15" s="1"/>
  <c r="AH285" i="15"/>
  <c r="AI287" i="15"/>
  <c r="AH287" i="15" s="1"/>
  <c r="H352" i="15"/>
  <c r="G348" i="15"/>
  <c r="AC352" i="15"/>
  <c r="P330" i="15"/>
  <c r="Q350" i="15"/>
  <c r="M376" i="15"/>
  <c r="N396" i="15"/>
  <c r="Q405" i="15"/>
  <c r="J120" i="15"/>
  <c r="J123" i="15"/>
  <c r="AH120" i="15"/>
  <c r="AH123" i="15"/>
  <c r="J104" i="15"/>
  <c r="AH104" i="15"/>
  <c r="I107" i="15"/>
  <c r="J107" i="15" s="1"/>
  <c r="AG107" i="15"/>
  <c r="AH107" i="15" s="1"/>
  <c r="J117" i="15"/>
  <c r="AH117" i="15"/>
  <c r="AH122" i="15"/>
  <c r="J196" i="15"/>
  <c r="J188" i="15"/>
  <c r="Z234" i="15"/>
  <c r="AH196" i="15"/>
  <c r="AH188" i="15"/>
  <c r="AI188" i="15"/>
  <c r="AN330" i="15"/>
  <c r="AO350" i="15"/>
  <c r="AN350" i="15" s="1"/>
  <c r="J99" i="15"/>
  <c r="AH99" i="15"/>
  <c r="S106" i="15"/>
  <c r="R107" i="15"/>
  <c r="S107" i="15" s="1"/>
  <c r="X110" i="15"/>
  <c r="J116" i="15"/>
  <c r="AH116" i="15"/>
  <c r="Y119" i="15"/>
  <c r="S121" i="15"/>
  <c r="T157" i="15"/>
  <c r="S157" i="15" s="1"/>
  <c r="V137" i="15"/>
  <c r="E175" i="15"/>
  <c r="K197" i="15"/>
  <c r="K234" i="15"/>
  <c r="S196" i="15"/>
  <c r="T197" i="15" s="1"/>
  <c r="T188" i="15"/>
  <c r="S188" i="15"/>
  <c r="AI197" i="15"/>
  <c r="AI234" i="15"/>
  <c r="D188" i="15"/>
  <c r="AF232" i="15"/>
  <c r="T352" i="15"/>
  <c r="AE309" i="15"/>
  <c r="AF314" i="15"/>
  <c r="AE314" i="15" s="1"/>
  <c r="AO197" i="15"/>
  <c r="J212" i="15"/>
  <c r="G287" i="15"/>
  <c r="T287" i="15"/>
  <c r="AI289" i="15"/>
  <c r="AE304" i="15"/>
  <c r="G330" i="15"/>
  <c r="S330" i="15"/>
  <c r="M348" i="15"/>
  <c r="AN348" i="15"/>
  <c r="AK394" i="15"/>
  <c r="E251" i="15"/>
  <c r="AO289" i="15"/>
  <c r="R309" i="15"/>
  <c r="AA309" i="15"/>
  <c r="AB348" i="15"/>
  <c r="C361" i="15"/>
  <c r="D361" i="15" s="1"/>
  <c r="D359" i="15"/>
  <c r="E394" i="15"/>
  <c r="D394" i="15" s="1"/>
  <c r="H396" i="15"/>
  <c r="G396" i="15" s="1"/>
  <c r="W197" i="15"/>
  <c r="W232" i="15"/>
  <c r="AI232" i="15"/>
  <c r="AH232" i="15" s="1"/>
  <c r="W287" i="15"/>
  <c r="J309" i="15"/>
  <c r="P348" i="15"/>
  <c r="Z352" i="15"/>
  <c r="M361" i="15"/>
  <c r="V188" i="15"/>
  <c r="Z396" i="15"/>
  <c r="Y396" i="15" s="1"/>
  <c r="AF398" i="15"/>
  <c r="AI396" i="15"/>
  <c r="AO232" i="15"/>
  <c r="AN232" i="15" s="1"/>
  <c r="Y267" i="15"/>
  <c r="AL287" i="15"/>
  <c r="AK287" i="15" s="1"/>
  <c r="D308" i="15"/>
  <c r="V348" i="15"/>
  <c r="W396" i="15"/>
  <c r="AC289" i="15"/>
  <c r="D307" i="15"/>
  <c r="K405" i="15"/>
  <c r="K396" i="15"/>
  <c r="E468" i="15"/>
  <c r="E479" i="15" s="1"/>
  <c r="Q479" i="15"/>
  <c r="AO479" i="15"/>
  <c r="W479" i="15"/>
  <c r="AC479" i="15"/>
  <c r="G27" i="3"/>
  <c r="AH124" i="15" l="1"/>
  <c r="E423" i="15"/>
  <c r="AG314" i="15"/>
  <c r="AH314" i="15" s="1"/>
  <c r="AH309" i="15"/>
  <c r="V30" i="15"/>
  <c r="AL398" i="15"/>
  <c r="X314" i="15"/>
  <c r="Y309" i="15"/>
  <c r="AE287" i="15"/>
  <c r="AF289" i="15"/>
  <c r="Y232" i="15"/>
  <c r="Z406" i="15"/>
  <c r="X464" i="15" s="1"/>
  <c r="Q289" i="15"/>
  <c r="N432" i="15"/>
  <c r="L432" i="15" s="1"/>
  <c r="AL432" i="15"/>
  <c r="AB38" i="15"/>
  <c r="M230" i="15"/>
  <c r="N197" i="15"/>
  <c r="AJ314" i="15"/>
  <c r="AK309" i="15"/>
  <c r="AO398" i="15"/>
  <c r="AI405" i="15"/>
  <c r="AH155" i="15"/>
  <c r="AH44" i="15"/>
  <c r="AB27" i="15"/>
  <c r="W88" i="15"/>
  <c r="AB36" i="15"/>
  <c r="AH110" i="15"/>
  <c r="D75" i="15"/>
  <c r="AB34" i="15"/>
  <c r="C34" i="15"/>
  <c r="AO352" i="15"/>
  <c r="Y230" i="15"/>
  <c r="Y212" i="15"/>
  <c r="E406" i="15"/>
  <c r="AB40" i="15"/>
  <c r="W406" i="15"/>
  <c r="U479" i="15" s="1"/>
  <c r="AI167" i="15"/>
  <c r="AK57" i="15"/>
  <c r="AB44" i="15"/>
  <c r="J350" i="15"/>
  <c r="V232" i="15"/>
  <c r="Y110" i="15"/>
  <c r="D230" i="15"/>
  <c r="D137" i="15"/>
  <c r="Z167" i="15"/>
  <c r="V75" i="15"/>
  <c r="AE30" i="15"/>
  <c r="D155" i="15"/>
  <c r="E427" i="15"/>
  <c r="V212" i="15"/>
  <c r="S35" i="15"/>
  <c r="S34" i="15"/>
  <c r="S36" i="15"/>
  <c r="S27" i="15"/>
  <c r="C464" i="15"/>
  <c r="AO406" i="15"/>
  <c r="AO88" i="15"/>
  <c r="AN57" i="15"/>
  <c r="W398" i="15"/>
  <c r="V396" i="15"/>
  <c r="D212" i="15"/>
  <c r="J396" i="15"/>
  <c r="K398" i="15"/>
  <c r="W289" i="15"/>
  <c r="V287" i="15"/>
  <c r="AE232" i="15"/>
  <c r="AH77" i="15"/>
  <c r="D304" i="15"/>
  <c r="D122" i="15"/>
  <c r="D114" i="15"/>
  <c r="D120" i="15"/>
  <c r="D115" i="15"/>
  <c r="D121" i="15"/>
  <c r="D118" i="15"/>
  <c r="C110" i="15"/>
  <c r="D110" i="15" s="1"/>
  <c r="D105" i="15"/>
  <c r="D123" i="15"/>
  <c r="D106" i="15"/>
  <c r="D99" i="15"/>
  <c r="D104" i="15"/>
  <c r="D119" i="15"/>
  <c r="D116" i="15"/>
  <c r="C107" i="15"/>
  <c r="D107" i="15" s="1"/>
  <c r="D117" i="15"/>
  <c r="P350" i="15"/>
  <c r="Q352" i="15"/>
  <c r="AE350" i="15"/>
  <c r="AK157" i="15"/>
  <c r="T167" i="15"/>
  <c r="N406" i="15"/>
  <c r="N88" i="15"/>
  <c r="M44" i="15"/>
  <c r="T406" i="15"/>
  <c r="T88" i="15"/>
  <c r="S57" i="15"/>
  <c r="S75" i="15"/>
  <c r="D44" i="15"/>
  <c r="E77" i="15"/>
  <c r="N418" i="15"/>
  <c r="M408" i="15"/>
  <c r="Z418" i="15"/>
  <c r="Y408" i="15"/>
  <c r="AF450" i="15"/>
  <c r="E436" i="15"/>
  <c r="E446" i="15"/>
  <c r="M57" i="15"/>
  <c r="Y36" i="15"/>
  <c r="Y34" i="15"/>
  <c r="Y40" i="15"/>
  <c r="Y37" i="15"/>
  <c r="Y35" i="15"/>
  <c r="Y38" i="15"/>
  <c r="Y39" i="15"/>
  <c r="Y27" i="15"/>
  <c r="C30" i="15"/>
  <c r="D30" i="15" s="1"/>
  <c r="D25" i="15"/>
  <c r="D26" i="15"/>
  <c r="D24" i="15"/>
  <c r="C27" i="15"/>
  <c r="D16" i="15"/>
  <c r="C479" i="15"/>
  <c r="E234" i="15"/>
  <c r="E197" i="15"/>
  <c r="V309" i="15"/>
  <c r="U314" i="15"/>
  <c r="AN44" i="15"/>
  <c r="H418" i="15"/>
  <c r="G408" i="15"/>
  <c r="E408" i="15"/>
  <c r="Q418" i="15"/>
  <c r="P408" i="15"/>
  <c r="E431" i="15"/>
  <c r="AL418" i="15"/>
  <c r="AK408" i="15"/>
  <c r="E445" i="15"/>
  <c r="E417" i="15"/>
  <c r="E430" i="15"/>
  <c r="E425" i="15"/>
  <c r="E447" i="15"/>
  <c r="E420" i="15"/>
  <c r="H432" i="15"/>
  <c r="P40" i="15"/>
  <c r="P39" i="15"/>
  <c r="P36" i="15"/>
  <c r="P34" i="15"/>
  <c r="P38" i="15"/>
  <c r="P35" i="15"/>
  <c r="P37" i="15"/>
  <c r="P27" i="15"/>
  <c r="AE57" i="15"/>
  <c r="AM479" i="15"/>
  <c r="AO405" i="15"/>
  <c r="AN314" i="15"/>
  <c r="AF197" i="15"/>
  <c r="AF234" i="15"/>
  <c r="AL167" i="15"/>
  <c r="AK155" i="15"/>
  <c r="AK124" i="15"/>
  <c r="W418" i="15"/>
  <c r="V408" i="15"/>
  <c r="AC450" i="15"/>
  <c r="E409" i="15"/>
  <c r="G409" i="15"/>
  <c r="W432" i="15"/>
  <c r="U432" i="15" s="1"/>
  <c r="E448" i="15"/>
  <c r="Z432" i="15"/>
  <c r="X432" i="15" s="1"/>
  <c r="AF432" i="15"/>
  <c r="E442" i="15"/>
  <c r="J77" i="15"/>
  <c r="AK77" i="15"/>
  <c r="K418" i="15"/>
  <c r="J408" i="15"/>
  <c r="G413" i="15"/>
  <c r="E413" i="15"/>
  <c r="D413" i="15" s="1"/>
  <c r="AI418" i="15"/>
  <c r="AH408" i="15"/>
  <c r="E441" i="15"/>
  <c r="T432" i="15"/>
  <c r="E426" i="15"/>
  <c r="E421" i="15"/>
  <c r="AC432" i="15"/>
  <c r="E443" i="15"/>
  <c r="W450" i="15"/>
  <c r="U450" i="15" s="1"/>
  <c r="K432" i="15"/>
  <c r="D348" i="15"/>
  <c r="M77" i="15"/>
  <c r="T418" i="15"/>
  <c r="S408" i="15"/>
  <c r="G410" i="15"/>
  <c r="E410" i="15"/>
  <c r="D410" i="15" s="1"/>
  <c r="AF418" i="15"/>
  <c r="AE408" i="15"/>
  <c r="N450" i="15"/>
  <c r="E444" i="15"/>
  <c r="Q450" i="15"/>
  <c r="AI432" i="15"/>
  <c r="E438" i="15"/>
  <c r="K167" i="15"/>
  <c r="D350" i="15"/>
  <c r="S30" i="15"/>
  <c r="M30" i="15"/>
  <c r="AA314" i="15"/>
  <c r="AB309" i="15"/>
  <c r="AF352" i="15"/>
  <c r="AE348" i="15"/>
  <c r="AE330" i="15"/>
  <c r="M39" i="15"/>
  <c r="M40" i="15"/>
  <c r="M34" i="15"/>
  <c r="M27" i="15"/>
  <c r="M36" i="15"/>
  <c r="M38" i="15"/>
  <c r="M35" i="15"/>
  <c r="M37" i="15"/>
  <c r="W234" i="15"/>
  <c r="AI406" i="15"/>
  <c r="AI88" i="15"/>
  <c r="AH57" i="15"/>
  <c r="AC406" i="15"/>
  <c r="AA479" i="15" s="1"/>
  <c r="AC88" i="15"/>
  <c r="AB57" i="15"/>
  <c r="T289" i="15"/>
  <c r="S287" i="15"/>
  <c r="Q432" i="15"/>
  <c r="E437" i="15"/>
  <c r="E422" i="15"/>
  <c r="K450" i="15"/>
  <c r="AL450" i="15"/>
  <c r="AO450" i="15"/>
  <c r="AM450" i="15" s="1"/>
  <c r="T450" i="15"/>
  <c r="E439" i="15"/>
  <c r="E428" i="15"/>
  <c r="Z450" i="15"/>
  <c r="X450" i="15" s="1"/>
  <c r="M75" i="15"/>
  <c r="D330" i="15"/>
  <c r="AK110" i="15"/>
  <c r="AN30" i="15"/>
  <c r="R314" i="15"/>
  <c r="S309" i="15"/>
  <c r="H197" i="15"/>
  <c r="H234" i="15"/>
  <c r="K406" i="15"/>
  <c r="K88" i="15"/>
  <c r="J57" i="15"/>
  <c r="AO234" i="15"/>
  <c r="AH396" i="15"/>
  <c r="AI398" i="15"/>
  <c r="E252" i="15"/>
  <c r="E289" i="15"/>
  <c r="D232" i="15"/>
  <c r="H167" i="15"/>
  <c r="N167" i="15"/>
  <c r="M155" i="15"/>
  <c r="M124" i="15"/>
  <c r="M110" i="15"/>
  <c r="AH38" i="15"/>
  <c r="AH39" i="15"/>
  <c r="AH37" i="15"/>
  <c r="AH35" i="15"/>
  <c r="AH27" i="15"/>
  <c r="AH34" i="15"/>
  <c r="AH36" i="15"/>
  <c r="AH40" i="15"/>
  <c r="J75" i="15"/>
  <c r="U464" i="15"/>
  <c r="H398" i="15"/>
  <c r="G230" i="15"/>
  <c r="M396" i="15"/>
  <c r="N398" i="15"/>
  <c r="AL289" i="15"/>
  <c r="E396" i="15"/>
  <c r="AO167" i="15"/>
  <c r="AB77" i="15"/>
  <c r="M157" i="15"/>
  <c r="AL406" i="15"/>
  <c r="AL88" i="15"/>
  <c r="C314" i="15"/>
  <c r="D314" i="15" s="1"/>
  <c r="D309" i="15"/>
  <c r="AN77" i="15"/>
  <c r="J38" i="15"/>
  <c r="J39" i="15"/>
  <c r="J35" i="15"/>
  <c r="J36" i="15"/>
  <c r="J34" i="15"/>
  <c r="J27" i="15"/>
  <c r="J40" i="15"/>
  <c r="J37" i="15"/>
  <c r="AO418" i="15"/>
  <c r="AN408" i="15"/>
  <c r="E415" i="15"/>
  <c r="G414" i="15"/>
  <c r="E414" i="15"/>
  <c r="D414" i="15" s="1"/>
  <c r="AO432" i="15"/>
  <c r="AM432" i="15" s="1"/>
  <c r="AI450" i="15"/>
  <c r="AG450" i="15" s="1"/>
  <c r="E440" i="15"/>
  <c r="E416" i="15"/>
  <c r="E434" i="15"/>
  <c r="AH75" i="15"/>
  <c r="Q406" i="15"/>
  <c r="O479" i="15" s="1"/>
  <c r="P30" i="15"/>
  <c r="Q88" i="15"/>
  <c r="P57" i="15"/>
  <c r="S44" i="15"/>
  <c r="AB30" i="15"/>
  <c r="H88" i="15"/>
  <c r="E157" i="15"/>
  <c r="AC418" i="15"/>
  <c r="AB408" i="15"/>
  <c r="AF406" i="15"/>
  <c r="AE75" i="15"/>
  <c r="AE44" i="15"/>
  <c r="AF88" i="15"/>
  <c r="G412" i="15"/>
  <c r="E412" i="15"/>
  <c r="D412" i="15" s="1"/>
  <c r="G411" i="15"/>
  <c r="E411" i="15"/>
  <c r="D411" i="15" s="1"/>
  <c r="H450" i="15"/>
  <c r="E433" i="15"/>
  <c r="E449" i="15"/>
  <c r="E429" i="15"/>
  <c r="E435" i="15"/>
  <c r="E424" i="15"/>
  <c r="P75" i="15"/>
  <c r="AK44" i="15"/>
  <c r="AN40" i="15"/>
  <c r="AN39" i="15"/>
  <c r="AN37" i="15"/>
  <c r="AN36" i="15"/>
  <c r="AN38" i="15"/>
  <c r="AN34" i="15"/>
  <c r="AN27" i="15"/>
  <c r="AN35" i="15"/>
  <c r="J44" i="15"/>
  <c r="H406" i="15"/>
  <c r="D27" i="3"/>
  <c r="O450" i="15" l="1"/>
  <c r="AG432" i="15"/>
  <c r="AK314" i="15"/>
  <c r="AL405" i="15"/>
  <c r="Y314" i="15"/>
  <c r="Z405" i="15"/>
  <c r="X479" i="15"/>
  <c r="AB314" i="15"/>
  <c r="AC405" i="15"/>
  <c r="R432" i="15"/>
  <c r="D409" i="15"/>
  <c r="C409" i="15"/>
  <c r="O418" i="15"/>
  <c r="Q466" i="15"/>
  <c r="O466" i="15" s="1"/>
  <c r="AM418" i="15"/>
  <c r="AO466" i="15"/>
  <c r="AM466" i="15" s="1"/>
  <c r="O432" i="15"/>
  <c r="AG464" i="15"/>
  <c r="AG479" i="15"/>
  <c r="L450" i="15"/>
  <c r="AA450" i="15"/>
  <c r="E418" i="15"/>
  <c r="D408" i="15"/>
  <c r="C408" i="15"/>
  <c r="N466" i="15"/>
  <c r="L466" i="15" s="1"/>
  <c r="L418" i="15"/>
  <c r="T466" i="15"/>
  <c r="R466" i="15" s="1"/>
  <c r="R418" i="15"/>
  <c r="E450" i="15"/>
  <c r="C450" i="15" s="1"/>
  <c r="D396" i="15"/>
  <c r="E398" i="15"/>
  <c r="K466" i="15"/>
  <c r="I466" i="15" s="1"/>
  <c r="I418" i="15"/>
  <c r="R479" i="15"/>
  <c r="R464" i="15"/>
  <c r="D77" i="15"/>
  <c r="E88" i="15"/>
  <c r="AF466" i="15"/>
  <c r="AD466" i="15" s="1"/>
  <c r="AD418" i="15"/>
  <c r="AI466" i="15"/>
  <c r="AG466" i="15" s="1"/>
  <c r="AG418" i="15"/>
  <c r="W466" i="15"/>
  <c r="U418" i="15"/>
  <c r="H466" i="15"/>
  <c r="F466" i="15" s="1"/>
  <c r="F418" i="15"/>
  <c r="AD450" i="15"/>
  <c r="F464" i="15"/>
  <c r="F479" i="15"/>
  <c r="L464" i="15"/>
  <c r="L479" i="15"/>
  <c r="AF481" i="15"/>
  <c r="AD464" i="15"/>
  <c r="AD479" i="15"/>
  <c r="R450" i="15"/>
  <c r="AA418" i="15"/>
  <c r="AC466" i="15"/>
  <c r="AA466" i="15" s="1"/>
  <c r="AJ450" i="15"/>
  <c r="AA432" i="15"/>
  <c r="F432" i="15"/>
  <c r="AL466" i="15"/>
  <c r="AJ466" i="15" s="1"/>
  <c r="AJ418" i="15"/>
  <c r="V314" i="15"/>
  <c r="W405" i="15"/>
  <c r="Z466" i="15"/>
  <c r="X418" i="15"/>
  <c r="I432" i="15"/>
  <c r="F450" i="15"/>
  <c r="S314" i="15"/>
  <c r="T405" i="15"/>
  <c r="AD432" i="15"/>
  <c r="D36" i="15"/>
  <c r="D37" i="15"/>
  <c r="D27" i="15"/>
  <c r="D39" i="15"/>
  <c r="D35" i="15"/>
  <c r="D40" i="15"/>
  <c r="D38" i="15"/>
  <c r="D34" i="15"/>
  <c r="D157" i="15"/>
  <c r="E167" i="15"/>
  <c r="Q481" i="15"/>
  <c r="O464" i="15"/>
  <c r="AL481" i="15"/>
  <c r="AJ479" i="15"/>
  <c r="AJ464" i="15"/>
  <c r="I450" i="15"/>
  <c r="AC481" i="15"/>
  <c r="AA464" i="15"/>
  <c r="E432" i="15"/>
  <c r="C432" i="15" s="1"/>
  <c r="AJ432" i="15"/>
  <c r="AO481" i="15"/>
  <c r="AM464" i="15"/>
  <c r="I464" i="15"/>
  <c r="I479" i="15"/>
  <c r="E405" i="15" l="1"/>
  <c r="T481" i="15"/>
  <c r="K481" i="15"/>
  <c r="J481" i="15" s="1"/>
  <c r="K487" i="15"/>
  <c r="AN481" i="15"/>
  <c r="AO487" i="15"/>
  <c r="AK481" i="15"/>
  <c r="AL487" i="15"/>
  <c r="AF487" i="15"/>
  <c r="AE481" i="15"/>
  <c r="C418" i="15"/>
  <c r="E466" i="15"/>
  <c r="P481" i="15"/>
  <c r="Q487" i="15"/>
  <c r="X466" i="15"/>
  <c r="Z481" i="15"/>
  <c r="N481" i="15"/>
  <c r="U466" i="15"/>
  <c r="W481" i="15"/>
  <c r="AB481" i="15"/>
  <c r="AC487" i="15"/>
  <c r="T487" i="15"/>
  <c r="S481" i="15"/>
  <c r="AI481" i="15"/>
  <c r="H481" i="15"/>
  <c r="D418" i="15"/>
  <c r="H487" i="15" l="1"/>
  <c r="G481" i="15"/>
  <c r="AE487" i="15"/>
  <c r="AF496" i="15"/>
  <c r="AE496" i="15" s="1"/>
  <c r="AI487" i="15"/>
  <c r="AH481" i="15"/>
  <c r="M481" i="15"/>
  <c r="N487" i="15"/>
  <c r="Y481" i="15"/>
  <c r="Z487" i="15"/>
  <c r="AK487" i="15"/>
  <c r="AL496" i="15"/>
  <c r="AK496" i="15" s="1"/>
  <c r="S487" i="15"/>
  <c r="T496" i="15"/>
  <c r="S496" i="15" s="1"/>
  <c r="Q496" i="15"/>
  <c r="P496" i="15" s="1"/>
  <c r="P487" i="15"/>
  <c r="AO496" i="15"/>
  <c r="AN496" i="15" s="1"/>
  <c r="AN487" i="15"/>
  <c r="AC496" i="15"/>
  <c r="AB496" i="15" s="1"/>
  <c r="AB487" i="15"/>
  <c r="C466" i="15"/>
  <c r="E481" i="15"/>
  <c r="W487" i="15"/>
  <c r="V481" i="15"/>
  <c r="J487" i="15"/>
  <c r="K496" i="15"/>
  <c r="J496" i="15" s="1"/>
  <c r="S1" i="17"/>
  <c r="A226" i="3"/>
  <c r="H185" i="3"/>
  <c r="M487" i="15" l="1"/>
  <c r="N496" i="15"/>
  <c r="M496" i="15" s="1"/>
  <c r="V487" i="15"/>
  <c r="W496" i="15"/>
  <c r="V496" i="15" s="1"/>
  <c r="D481" i="15"/>
  <c r="E487" i="15"/>
  <c r="AH487" i="15"/>
  <c r="AI496" i="15"/>
  <c r="AH496" i="15" s="1"/>
  <c r="Y487" i="15"/>
  <c r="Z496" i="15"/>
  <c r="Y496" i="15" s="1"/>
  <c r="G487" i="15"/>
  <c r="H496" i="15"/>
  <c r="G496" i="15" s="1"/>
  <c r="Q416" i="3"/>
  <c r="Q415" i="3"/>
  <c r="E496" i="15" l="1"/>
  <c r="D496" i="15" s="1"/>
  <c r="D487" i="15"/>
  <c r="Q237" i="5"/>
  <c r="N237" i="5" s="1"/>
  <c r="R237" i="5"/>
  <c r="S237" i="5"/>
  <c r="M237" i="5"/>
  <c r="L237" i="5"/>
  <c r="U237" i="5" s="1"/>
  <c r="X237" i="5" l="1"/>
  <c r="T237" i="5"/>
  <c r="W237" i="5"/>
  <c r="V237" i="5"/>
  <c r="P237" i="5"/>
  <c r="O237" i="5"/>
  <c r="W8" i="17" l="1"/>
  <c r="A358" i="17" l="1"/>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R359" i="17" l="1"/>
  <c r="M361" i="17"/>
  <c r="H361" i="17"/>
  <c r="R361" i="17"/>
  <c r="M359" i="17"/>
  <c r="H359" i="17"/>
  <c r="S431" i="17"/>
  <c r="U428" i="17" s="1"/>
  <c r="S422" i="17"/>
  <c r="U419" i="17" s="1"/>
  <c r="S414" i="17"/>
  <c r="U411" i="17" s="1"/>
  <c r="S409" i="17"/>
  <c r="U406" i="17" s="1"/>
  <c r="U408" i="17"/>
  <c r="S404" i="17"/>
  <c r="U401" i="17" s="1"/>
  <c r="P396" i="17" l="1"/>
  <c r="U421" i="17"/>
  <c r="I394" i="17"/>
  <c r="H394" i="17" s="1"/>
  <c r="P394" i="17"/>
  <c r="U412" i="17"/>
  <c r="I376" i="17"/>
  <c r="U407" i="17"/>
  <c r="P376" i="17"/>
  <c r="Q361" i="17"/>
  <c r="U403" i="17"/>
  <c r="U413" i="17"/>
  <c r="U429" i="17"/>
  <c r="U402" i="17"/>
  <c r="U420" i="17"/>
  <c r="U430"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171" i="5"/>
  <c r="Q171" i="5"/>
  <c r="R171" i="5"/>
  <c r="S171" i="5"/>
  <c r="M172" i="5"/>
  <c r="Q172" i="5"/>
  <c r="P172" i="5" s="1"/>
  <c r="R172" i="5"/>
  <c r="S172" i="5"/>
  <c r="M345" i="5"/>
  <c r="Q345" i="5"/>
  <c r="R345" i="5"/>
  <c r="S345" i="5"/>
  <c r="M351" i="5"/>
  <c r="Q351" i="5"/>
  <c r="R351" i="5"/>
  <c r="S351" i="5"/>
  <c r="M352" i="5"/>
  <c r="Q352" i="5"/>
  <c r="N352" i="5" s="1"/>
  <c r="R352" i="5"/>
  <c r="S352" i="5"/>
  <c r="M349" i="5"/>
  <c r="Q349" i="5"/>
  <c r="P349" i="5" s="1"/>
  <c r="R349" i="5"/>
  <c r="S349" i="5"/>
  <c r="M344" i="5"/>
  <c r="Q344" i="5"/>
  <c r="N344" i="5" s="1"/>
  <c r="R344" i="5"/>
  <c r="S344" i="5"/>
  <c r="M347" i="5"/>
  <c r="Q347" i="5"/>
  <c r="P347" i="5" s="1"/>
  <c r="R347" i="5"/>
  <c r="S347" i="5"/>
  <c r="M346" i="5"/>
  <c r="Q346" i="5"/>
  <c r="P346" i="5" s="1"/>
  <c r="R346" i="5"/>
  <c r="S346" i="5"/>
  <c r="M341" i="5"/>
  <c r="Q341" i="5"/>
  <c r="R341" i="5"/>
  <c r="S341" i="5"/>
  <c r="M348" i="5"/>
  <c r="Q348" i="5"/>
  <c r="N348" i="5" s="1"/>
  <c r="R348" i="5"/>
  <c r="S348" i="5"/>
  <c r="M342" i="5"/>
  <c r="Q342" i="5"/>
  <c r="R342" i="5"/>
  <c r="S342" i="5"/>
  <c r="M350" i="5"/>
  <c r="Q350" i="5"/>
  <c r="P350" i="5" s="1"/>
  <c r="R350" i="5"/>
  <c r="S350" i="5"/>
  <c r="M263" i="5"/>
  <c r="Q263" i="5"/>
  <c r="R263" i="5"/>
  <c r="S263" i="5"/>
  <c r="M70" i="5"/>
  <c r="Q70" i="5"/>
  <c r="R70" i="5"/>
  <c r="S70" i="5"/>
  <c r="M264" i="5"/>
  <c r="Q264" i="5"/>
  <c r="R264" i="5"/>
  <c r="S264" i="5"/>
  <c r="M267" i="5"/>
  <c r="Q267" i="5"/>
  <c r="R267" i="5"/>
  <c r="S267" i="5"/>
  <c r="M268" i="5"/>
  <c r="Q268" i="5"/>
  <c r="P268" i="5" s="1"/>
  <c r="R268" i="5"/>
  <c r="S268" i="5"/>
  <c r="M71" i="5"/>
  <c r="Q71" i="5"/>
  <c r="R71" i="5"/>
  <c r="S71" i="5"/>
  <c r="M72" i="5"/>
  <c r="Q72" i="5"/>
  <c r="P72" i="5" s="1"/>
  <c r="R72" i="5"/>
  <c r="S72" i="5"/>
  <c r="M265" i="5"/>
  <c r="Q265" i="5"/>
  <c r="N265" i="5" s="1"/>
  <c r="R265" i="5"/>
  <c r="S265" i="5"/>
  <c r="M266" i="5"/>
  <c r="Q266" i="5"/>
  <c r="P266" i="5" s="1"/>
  <c r="R266" i="5"/>
  <c r="S266" i="5"/>
  <c r="M257" i="5"/>
  <c r="Q257" i="5"/>
  <c r="N257" i="5" s="1"/>
  <c r="R257" i="5"/>
  <c r="S257" i="5"/>
  <c r="M258" i="5"/>
  <c r="Q258" i="5"/>
  <c r="P258" i="5" s="1"/>
  <c r="R258" i="5"/>
  <c r="S258" i="5"/>
  <c r="M259" i="5"/>
  <c r="Q259" i="5"/>
  <c r="R259" i="5"/>
  <c r="S259" i="5"/>
  <c r="M260" i="5"/>
  <c r="Q260" i="5"/>
  <c r="R260" i="5"/>
  <c r="S260" i="5"/>
  <c r="M438" i="5"/>
  <c r="Q438" i="5"/>
  <c r="N438" i="5" s="1"/>
  <c r="R438" i="5"/>
  <c r="S438" i="5"/>
  <c r="M407" i="5"/>
  <c r="Q407" i="5"/>
  <c r="N407" i="5" s="1"/>
  <c r="R407" i="5"/>
  <c r="S407" i="5"/>
  <c r="M261" i="5"/>
  <c r="Q261" i="5"/>
  <c r="O261" i="5" s="1"/>
  <c r="R261" i="5"/>
  <c r="S261" i="5"/>
  <c r="M262" i="5"/>
  <c r="Q262" i="5"/>
  <c r="N262" i="5" s="1"/>
  <c r="R262" i="5"/>
  <c r="S262" i="5"/>
  <c r="M214" i="5"/>
  <c r="Q214" i="5"/>
  <c r="P214" i="5" s="1"/>
  <c r="R214" i="5"/>
  <c r="S214" i="5"/>
  <c r="M215" i="5"/>
  <c r="Q215" i="5"/>
  <c r="P215" i="5" s="1"/>
  <c r="R215" i="5"/>
  <c r="S215" i="5"/>
  <c r="M216" i="5"/>
  <c r="Q216" i="5"/>
  <c r="P216" i="5" s="1"/>
  <c r="R216" i="5"/>
  <c r="S216" i="5"/>
  <c r="M217" i="5"/>
  <c r="Q217" i="5"/>
  <c r="N217" i="5" s="1"/>
  <c r="R217" i="5"/>
  <c r="S217" i="5"/>
  <c r="M218" i="5"/>
  <c r="Q218" i="5"/>
  <c r="O218" i="5" s="1"/>
  <c r="R218" i="5"/>
  <c r="S218" i="5"/>
  <c r="M219" i="5"/>
  <c r="Q219" i="5"/>
  <c r="R219" i="5"/>
  <c r="S219" i="5"/>
  <c r="M220" i="5"/>
  <c r="Q220" i="5"/>
  <c r="P220" i="5" s="1"/>
  <c r="R220" i="5"/>
  <c r="S220" i="5"/>
  <c r="M221" i="5"/>
  <c r="Q221" i="5"/>
  <c r="R221" i="5"/>
  <c r="S221" i="5"/>
  <c r="M108" i="5"/>
  <c r="Q108" i="5"/>
  <c r="O108" i="5" s="1"/>
  <c r="R108" i="5"/>
  <c r="S108" i="5"/>
  <c r="M222" i="5"/>
  <c r="Q222" i="5"/>
  <c r="P222" i="5" s="1"/>
  <c r="R222" i="5"/>
  <c r="S222" i="5"/>
  <c r="M223" i="5"/>
  <c r="Q223" i="5"/>
  <c r="N223" i="5" s="1"/>
  <c r="R223" i="5"/>
  <c r="S223" i="5"/>
  <c r="M224" i="5"/>
  <c r="Q224" i="5"/>
  <c r="N224" i="5" s="1"/>
  <c r="R224" i="5"/>
  <c r="S224" i="5"/>
  <c r="M225" i="5"/>
  <c r="Q225" i="5"/>
  <c r="R225" i="5"/>
  <c r="S225" i="5"/>
  <c r="M226" i="5"/>
  <c r="Q226" i="5"/>
  <c r="P226" i="5" s="1"/>
  <c r="R226" i="5"/>
  <c r="S226" i="5"/>
  <c r="M74" i="5"/>
  <c r="Q74" i="5"/>
  <c r="R74" i="5"/>
  <c r="S74" i="5"/>
  <c r="M75" i="5"/>
  <c r="Q75" i="5"/>
  <c r="N75" i="5" s="1"/>
  <c r="R75" i="5"/>
  <c r="S75" i="5"/>
  <c r="M179" i="5"/>
  <c r="Q179" i="5"/>
  <c r="R179" i="5"/>
  <c r="S179" i="5"/>
  <c r="M180" i="5"/>
  <c r="Q180" i="5"/>
  <c r="O180" i="5" s="1"/>
  <c r="R180" i="5"/>
  <c r="S180" i="5"/>
  <c r="M181" i="5"/>
  <c r="Q181" i="5"/>
  <c r="N181" i="5" s="1"/>
  <c r="R181" i="5"/>
  <c r="S181" i="5"/>
  <c r="M182" i="5"/>
  <c r="Q182" i="5"/>
  <c r="N182" i="5" s="1"/>
  <c r="R182" i="5"/>
  <c r="S182" i="5"/>
  <c r="M185" i="5"/>
  <c r="Q185" i="5"/>
  <c r="R185" i="5"/>
  <c r="S185" i="5"/>
  <c r="M186" i="5"/>
  <c r="Q186" i="5"/>
  <c r="R186" i="5"/>
  <c r="S186" i="5"/>
  <c r="M298" i="5"/>
  <c r="Q298" i="5"/>
  <c r="R298" i="5"/>
  <c r="S298" i="5"/>
  <c r="M299" i="5"/>
  <c r="Q299" i="5"/>
  <c r="N299" i="5" s="1"/>
  <c r="R299" i="5"/>
  <c r="S299" i="5"/>
  <c r="M183" i="5"/>
  <c r="Q183" i="5"/>
  <c r="P183" i="5" s="1"/>
  <c r="R183" i="5"/>
  <c r="S183" i="5"/>
  <c r="M184" i="5"/>
  <c r="Q184" i="5"/>
  <c r="R184" i="5"/>
  <c r="S184" i="5"/>
  <c r="M177" i="5"/>
  <c r="Q177" i="5"/>
  <c r="N177" i="5" s="1"/>
  <c r="R177" i="5"/>
  <c r="S177" i="5"/>
  <c r="M178" i="5"/>
  <c r="Q178" i="5"/>
  <c r="R178" i="5"/>
  <c r="S178" i="5"/>
  <c r="M173" i="5"/>
  <c r="Q173" i="5"/>
  <c r="R173" i="5"/>
  <c r="S173" i="5"/>
  <c r="M174" i="5"/>
  <c r="Q174" i="5"/>
  <c r="R174" i="5"/>
  <c r="S174" i="5"/>
  <c r="M113" i="5"/>
  <c r="Q113" i="5"/>
  <c r="R113" i="5"/>
  <c r="S113" i="5"/>
  <c r="M343" i="5"/>
  <c r="Q343" i="5"/>
  <c r="R343" i="5"/>
  <c r="S343" i="5"/>
  <c r="M169" i="5"/>
  <c r="Q169" i="5"/>
  <c r="P169" i="5" s="1"/>
  <c r="R169" i="5"/>
  <c r="S169" i="5"/>
  <c r="M170" i="5"/>
  <c r="Q170" i="5"/>
  <c r="R170" i="5"/>
  <c r="S170" i="5"/>
  <c r="M329" i="5"/>
  <c r="Q329" i="5"/>
  <c r="N329" i="5" s="1"/>
  <c r="R329" i="5"/>
  <c r="S329" i="5"/>
  <c r="M422" i="5"/>
  <c r="Q422" i="5"/>
  <c r="R422" i="5"/>
  <c r="S422" i="5"/>
  <c r="M423" i="5"/>
  <c r="Q423" i="5"/>
  <c r="P423" i="5" s="1"/>
  <c r="R423" i="5"/>
  <c r="S423" i="5"/>
  <c r="M424" i="5"/>
  <c r="Q424" i="5"/>
  <c r="N424" i="5" s="1"/>
  <c r="R424" i="5"/>
  <c r="S424" i="5"/>
  <c r="M425" i="5"/>
  <c r="Q425" i="5"/>
  <c r="R425" i="5"/>
  <c r="S425" i="5"/>
  <c r="M426" i="5"/>
  <c r="Q426" i="5"/>
  <c r="R426" i="5"/>
  <c r="S426" i="5"/>
  <c r="M427" i="5"/>
  <c r="Q427" i="5"/>
  <c r="P427" i="5" s="1"/>
  <c r="R427" i="5"/>
  <c r="S427" i="5"/>
  <c r="M103" i="5"/>
  <c r="Q103" i="5"/>
  <c r="R103" i="5"/>
  <c r="S103" i="5"/>
  <c r="M104" i="5"/>
  <c r="Q104" i="5"/>
  <c r="R104" i="5"/>
  <c r="S104" i="5"/>
  <c r="M105" i="5"/>
  <c r="Q105" i="5"/>
  <c r="R105" i="5"/>
  <c r="S105" i="5"/>
  <c r="M106" i="5"/>
  <c r="Q106" i="5"/>
  <c r="R106" i="5"/>
  <c r="S106" i="5"/>
  <c r="M145" i="5"/>
  <c r="Q145" i="5"/>
  <c r="N145" i="5" s="1"/>
  <c r="R145" i="5"/>
  <c r="S145" i="5"/>
  <c r="M107" i="5"/>
  <c r="Q107" i="5"/>
  <c r="R107" i="5"/>
  <c r="S107" i="5"/>
  <c r="M109" i="5"/>
  <c r="Q109" i="5"/>
  <c r="R109" i="5"/>
  <c r="S109" i="5"/>
  <c r="M110" i="5"/>
  <c r="Q110" i="5"/>
  <c r="P110" i="5" s="1"/>
  <c r="R110" i="5"/>
  <c r="S110" i="5"/>
  <c r="M111" i="5"/>
  <c r="Q111" i="5"/>
  <c r="P111" i="5" s="1"/>
  <c r="R111" i="5"/>
  <c r="S111" i="5"/>
  <c r="M152" i="5"/>
  <c r="Q152" i="5"/>
  <c r="N152" i="5" s="1"/>
  <c r="R152" i="5"/>
  <c r="S152" i="5"/>
  <c r="M153" i="5"/>
  <c r="Q153" i="5"/>
  <c r="R153" i="5"/>
  <c r="S153" i="5"/>
  <c r="M154" i="5"/>
  <c r="Q154" i="5"/>
  <c r="R154" i="5"/>
  <c r="S154" i="5"/>
  <c r="M155" i="5"/>
  <c r="Q155" i="5"/>
  <c r="N155" i="5" s="1"/>
  <c r="R155" i="5"/>
  <c r="S155" i="5"/>
  <c r="M156" i="5"/>
  <c r="Q156" i="5"/>
  <c r="R156" i="5"/>
  <c r="S156" i="5"/>
  <c r="M162" i="5"/>
  <c r="Q162" i="5"/>
  <c r="R162" i="5"/>
  <c r="S162" i="5"/>
  <c r="M363" i="5"/>
  <c r="Q363" i="5"/>
  <c r="R363" i="5"/>
  <c r="S363" i="5"/>
  <c r="M364" i="5"/>
  <c r="Q364" i="5"/>
  <c r="R364" i="5"/>
  <c r="S364" i="5"/>
  <c r="M365" i="5"/>
  <c r="Q365" i="5"/>
  <c r="N365" i="5" s="1"/>
  <c r="R365" i="5"/>
  <c r="S365" i="5"/>
  <c r="M366" i="5"/>
  <c r="Q366" i="5"/>
  <c r="R366" i="5"/>
  <c r="S366" i="5"/>
  <c r="M367" i="5"/>
  <c r="Q367" i="5"/>
  <c r="R367" i="5"/>
  <c r="S367" i="5"/>
  <c r="M163" i="5"/>
  <c r="Q163" i="5"/>
  <c r="N163" i="5" s="1"/>
  <c r="R163" i="5"/>
  <c r="S163" i="5"/>
  <c r="M112" i="5"/>
  <c r="Q112" i="5"/>
  <c r="R112" i="5"/>
  <c r="S112" i="5"/>
  <c r="M130" i="5"/>
  <c r="Q130" i="5"/>
  <c r="R130" i="5"/>
  <c r="S130" i="5"/>
  <c r="M81" i="5"/>
  <c r="Q81" i="5"/>
  <c r="R81" i="5"/>
  <c r="S81" i="5"/>
  <c r="M131" i="5"/>
  <c r="Q131" i="5"/>
  <c r="R131" i="5"/>
  <c r="S131" i="5"/>
  <c r="M120" i="5"/>
  <c r="Q120" i="5"/>
  <c r="N120" i="5" s="1"/>
  <c r="R120" i="5"/>
  <c r="S120" i="5"/>
  <c r="M338" i="5"/>
  <c r="Q338" i="5"/>
  <c r="O338" i="5" s="1"/>
  <c r="R338" i="5"/>
  <c r="S338" i="5"/>
  <c r="M339" i="5"/>
  <c r="Q339" i="5"/>
  <c r="P339" i="5" s="1"/>
  <c r="R339" i="5"/>
  <c r="S339" i="5"/>
  <c r="M87" i="5"/>
  <c r="Q87" i="5"/>
  <c r="R87" i="5"/>
  <c r="S87" i="5"/>
  <c r="M88" i="5"/>
  <c r="Q88" i="5"/>
  <c r="P88" i="5" s="1"/>
  <c r="R88" i="5"/>
  <c r="S88" i="5"/>
  <c r="M89" i="5"/>
  <c r="Q89" i="5"/>
  <c r="O89" i="5" s="1"/>
  <c r="R89" i="5"/>
  <c r="S89" i="5"/>
  <c r="M90" i="5"/>
  <c r="Q90" i="5"/>
  <c r="P90" i="5" s="1"/>
  <c r="R90" i="5"/>
  <c r="S90" i="5"/>
  <c r="M91" i="5"/>
  <c r="Q91" i="5"/>
  <c r="O91" i="5" s="1"/>
  <c r="R91" i="5"/>
  <c r="S91" i="5"/>
  <c r="M92" i="5"/>
  <c r="Q92" i="5"/>
  <c r="R92" i="5"/>
  <c r="S92" i="5"/>
  <c r="M121" i="5"/>
  <c r="Q121" i="5"/>
  <c r="R121" i="5"/>
  <c r="S121" i="5"/>
  <c r="M122" i="5"/>
  <c r="Q122" i="5"/>
  <c r="R122" i="5"/>
  <c r="S122" i="5"/>
  <c r="M123" i="5"/>
  <c r="Q123" i="5"/>
  <c r="O123" i="5" s="1"/>
  <c r="R123" i="5"/>
  <c r="S123" i="5"/>
  <c r="M124" i="5"/>
  <c r="Q124" i="5"/>
  <c r="P124" i="5" s="1"/>
  <c r="R124" i="5"/>
  <c r="S124" i="5"/>
  <c r="M93" i="5"/>
  <c r="Q93" i="5"/>
  <c r="O93" i="5" s="1"/>
  <c r="R93" i="5"/>
  <c r="S93" i="5"/>
  <c r="M94" i="5"/>
  <c r="Q94" i="5"/>
  <c r="O94" i="5" s="1"/>
  <c r="R94" i="5"/>
  <c r="S94" i="5"/>
  <c r="M125" i="5"/>
  <c r="Q125" i="5"/>
  <c r="O125" i="5" s="1"/>
  <c r="R125" i="5"/>
  <c r="S125" i="5"/>
  <c r="M126" i="5"/>
  <c r="Q126" i="5"/>
  <c r="R126" i="5"/>
  <c r="S126" i="5"/>
  <c r="M95" i="5"/>
  <c r="Q95" i="5"/>
  <c r="R95" i="5"/>
  <c r="S95" i="5"/>
  <c r="M96" i="5"/>
  <c r="Q96" i="5"/>
  <c r="R96" i="5"/>
  <c r="S96" i="5"/>
  <c r="M192" i="5"/>
  <c r="Q192" i="5"/>
  <c r="O192" i="5" s="1"/>
  <c r="R192" i="5"/>
  <c r="S192" i="5"/>
  <c r="M193" i="5"/>
  <c r="Q193" i="5"/>
  <c r="O193" i="5" s="1"/>
  <c r="R193" i="5"/>
  <c r="S193" i="5"/>
  <c r="M189" i="5"/>
  <c r="Q189" i="5"/>
  <c r="O189" i="5" s="1"/>
  <c r="O1059" i="5" s="1"/>
  <c r="R189" i="5"/>
  <c r="S189" i="5"/>
  <c r="M190" i="5"/>
  <c r="Q190" i="5"/>
  <c r="R190" i="5"/>
  <c r="S190" i="5"/>
  <c r="M132" i="5"/>
  <c r="Q132" i="5"/>
  <c r="O132" i="5" s="1"/>
  <c r="R132" i="5"/>
  <c r="S132" i="5"/>
  <c r="M133" i="5"/>
  <c r="Q133" i="5"/>
  <c r="O133" i="5" s="1"/>
  <c r="R133" i="5"/>
  <c r="S133" i="5"/>
  <c r="M300" i="5"/>
  <c r="Q300" i="5"/>
  <c r="R300" i="5"/>
  <c r="S300" i="5"/>
  <c r="M301" i="5"/>
  <c r="Q301" i="5"/>
  <c r="R301" i="5"/>
  <c r="S301" i="5"/>
  <c r="M440" i="5"/>
  <c r="Q440" i="5"/>
  <c r="R440" i="5"/>
  <c r="S440" i="5"/>
  <c r="M441" i="5"/>
  <c r="Q441" i="5"/>
  <c r="O441" i="5" s="1"/>
  <c r="R441" i="5"/>
  <c r="S441" i="5"/>
  <c r="M274" i="5"/>
  <c r="Q274" i="5"/>
  <c r="R274" i="5"/>
  <c r="S274" i="5"/>
  <c r="M275" i="5"/>
  <c r="Q275" i="5"/>
  <c r="R275" i="5"/>
  <c r="S275" i="5"/>
  <c r="M279" i="5"/>
  <c r="Q279" i="5"/>
  <c r="R279" i="5"/>
  <c r="S279" i="5"/>
  <c r="M281" i="5"/>
  <c r="Q281" i="5"/>
  <c r="O281" i="5" s="1"/>
  <c r="R281" i="5"/>
  <c r="S281" i="5"/>
  <c r="M282" i="5"/>
  <c r="Q282" i="5"/>
  <c r="P282" i="5" s="1"/>
  <c r="R282" i="5"/>
  <c r="S282" i="5"/>
  <c r="M284" i="5"/>
  <c r="Q284" i="5"/>
  <c r="R284" i="5"/>
  <c r="S284" i="5"/>
  <c r="M285" i="5"/>
  <c r="Q285" i="5"/>
  <c r="R285" i="5"/>
  <c r="S285" i="5"/>
  <c r="M243" i="5"/>
  <c r="Q243" i="5"/>
  <c r="O243" i="5" s="1"/>
  <c r="R243" i="5"/>
  <c r="S243" i="5"/>
  <c r="M244" i="5"/>
  <c r="Q244" i="5"/>
  <c r="R244" i="5"/>
  <c r="S244" i="5"/>
  <c r="M408" i="5"/>
  <c r="Q408" i="5"/>
  <c r="R408" i="5"/>
  <c r="S408" i="5"/>
  <c r="M409" i="5"/>
  <c r="Q409" i="5"/>
  <c r="R409" i="5"/>
  <c r="S409" i="5"/>
  <c r="M410" i="5"/>
  <c r="Q410" i="5"/>
  <c r="O410" i="5" s="1"/>
  <c r="R410" i="5"/>
  <c r="S410" i="5"/>
  <c r="M411" i="5"/>
  <c r="Q411" i="5"/>
  <c r="P411" i="5" s="1"/>
  <c r="R411" i="5"/>
  <c r="S411" i="5"/>
  <c r="M412" i="5"/>
  <c r="Q412" i="5"/>
  <c r="R412" i="5"/>
  <c r="S412" i="5"/>
  <c r="M413" i="5"/>
  <c r="Q413" i="5"/>
  <c r="N413" i="5" s="1"/>
  <c r="R413" i="5"/>
  <c r="S413" i="5"/>
  <c r="M289" i="5"/>
  <c r="Q289" i="5"/>
  <c r="O289" i="5" s="1"/>
  <c r="R289" i="5"/>
  <c r="S289" i="5"/>
  <c r="M290" i="5"/>
  <c r="Q290" i="5"/>
  <c r="R290" i="5"/>
  <c r="S290" i="5"/>
  <c r="M291" i="5"/>
  <c r="Q291" i="5"/>
  <c r="R291" i="5"/>
  <c r="S291" i="5"/>
  <c r="M292" i="5"/>
  <c r="Q292" i="5"/>
  <c r="R292" i="5"/>
  <c r="S292" i="5"/>
  <c r="M293" i="5"/>
  <c r="Q293" i="5"/>
  <c r="R293" i="5"/>
  <c r="S293" i="5"/>
  <c r="M294" i="5"/>
  <c r="Q294" i="5"/>
  <c r="O294" i="5" s="1"/>
  <c r="R294" i="5"/>
  <c r="S294" i="5"/>
  <c r="M323" i="5"/>
  <c r="Q323" i="5"/>
  <c r="R323" i="5"/>
  <c r="S323" i="5"/>
  <c r="M324" i="5"/>
  <c r="Q324" i="5"/>
  <c r="O324" i="5" s="1"/>
  <c r="R324" i="5"/>
  <c r="S324" i="5"/>
  <c r="M276" i="5"/>
  <c r="Q276" i="5"/>
  <c r="P276" i="5" s="1"/>
  <c r="R276" i="5"/>
  <c r="S276" i="5"/>
  <c r="M306" i="5"/>
  <c r="Q306" i="5"/>
  <c r="R306" i="5"/>
  <c r="S306" i="5"/>
  <c r="M307" i="5"/>
  <c r="Q307" i="5"/>
  <c r="O307" i="5" s="1"/>
  <c r="R307" i="5"/>
  <c r="S307" i="5"/>
  <c r="M449" i="5"/>
  <c r="Q449" i="5"/>
  <c r="R449" i="5"/>
  <c r="S449" i="5"/>
  <c r="M450" i="5"/>
  <c r="Q450" i="5"/>
  <c r="O450" i="5" s="1"/>
  <c r="R450" i="5"/>
  <c r="S450" i="5"/>
  <c r="M286" i="5"/>
  <c r="Q286" i="5"/>
  <c r="R286" i="5"/>
  <c r="S286" i="5"/>
  <c r="M325" i="5"/>
  <c r="Q325" i="5"/>
  <c r="O325" i="5" s="1"/>
  <c r="R325" i="5"/>
  <c r="S325" i="5"/>
  <c r="M326" i="5"/>
  <c r="Q326" i="5"/>
  <c r="R326" i="5"/>
  <c r="S326" i="5"/>
  <c r="M314" i="5"/>
  <c r="Q314" i="5"/>
  <c r="R314" i="5"/>
  <c r="S314" i="5"/>
  <c r="M315" i="5"/>
  <c r="Q315" i="5"/>
  <c r="R315" i="5"/>
  <c r="S315" i="5"/>
  <c r="M316" i="5"/>
  <c r="Q316" i="5"/>
  <c r="O316" i="5" s="1"/>
  <c r="R316" i="5"/>
  <c r="S316" i="5"/>
  <c r="M317" i="5"/>
  <c r="Q317" i="5"/>
  <c r="R317" i="5"/>
  <c r="S317" i="5"/>
  <c r="M318" i="5"/>
  <c r="Q318" i="5"/>
  <c r="R318" i="5"/>
  <c r="S318" i="5"/>
  <c r="M319" i="5"/>
  <c r="Q319" i="5"/>
  <c r="N319" i="5" s="1"/>
  <c r="R319" i="5"/>
  <c r="S319" i="5"/>
  <c r="M446" i="5"/>
  <c r="Q446" i="5"/>
  <c r="O446" i="5" s="1"/>
  <c r="R446" i="5"/>
  <c r="S446" i="5"/>
  <c r="M447" i="5"/>
  <c r="Q447" i="5"/>
  <c r="O447" i="5" s="1"/>
  <c r="R447" i="5"/>
  <c r="S447" i="5"/>
  <c r="M443" i="5"/>
  <c r="Q443" i="5"/>
  <c r="R443" i="5"/>
  <c r="S443" i="5"/>
  <c r="M444" i="5"/>
  <c r="Q444" i="5"/>
  <c r="R444" i="5"/>
  <c r="S444" i="5"/>
  <c r="M452" i="5"/>
  <c r="Q452" i="5"/>
  <c r="O452" i="5" s="1"/>
  <c r="R452" i="5"/>
  <c r="S452" i="5"/>
  <c r="M453" i="5"/>
  <c r="Q453" i="5"/>
  <c r="R453" i="5"/>
  <c r="S453" i="5"/>
  <c r="M454" i="5"/>
  <c r="Q454" i="5"/>
  <c r="R454" i="5"/>
  <c r="S454" i="5"/>
  <c r="M340" i="5"/>
  <c r="Q340" i="5"/>
  <c r="O340" i="5" s="1"/>
  <c r="R340" i="5"/>
  <c r="S340" i="5"/>
  <c r="M97" i="5"/>
  <c r="Q97" i="5"/>
  <c r="O97" i="5" s="1"/>
  <c r="R97" i="5"/>
  <c r="S97" i="5"/>
  <c r="M98" i="5"/>
  <c r="Q98" i="5"/>
  <c r="O98" i="5" s="1"/>
  <c r="R98" i="5"/>
  <c r="S98" i="5"/>
  <c r="M99" i="5"/>
  <c r="Q99" i="5"/>
  <c r="R99" i="5"/>
  <c r="S99" i="5"/>
  <c r="M100" i="5"/>
  <c r="Q100" i="5"/>
  <c r="O100" i="5" s="1"/>
  <c r="R100" i="5"/>
  <c r="S100" i="5"/>
  <c r="M127" i="5"/>
  <c r="Q127" i="5"/>
  <c r="R127" i="5"/>
  <c r="S127" i="5"/>
  <c r="M128" i="5"/>
  <c r="Q128" i="5"/>
  <c r="R128" i="5"/>
  <c r="S128" i="5"/>
  <c r="M101" i="5"/>
  <c r="Q101" i="5"/>
  <c r="O101" i="5" s="1"/>
  <c r="R101" i="5"/>
  <c r="S101" i="5"/>
  <c r="M129" i="5"/>
  <c r="Q129" i="5"/>
  <c r="O129" i="5" s="1"/>
  <c r="R129" i="5"/>
  <c r="S129" i="5"/>
  <c r="M102" i="5"/>
  <c r="Q102" i="5"/>
  <c r="O102" i="5" s="1"/>
  <c r="R102" i="5"/>
  <c r="S102" i="5"/>
  <c r="M194" i="5"/>
  <c r="Q194" i="5"/>
  <c r="O194" i="5" s="1"/>
  <c r="R194" i="5"/>
  <c r="S194" i="5"/>
  <c r="M191" i="5"/>
  <c r="Q191" i="5"/>
  <c r="O191" i="5" s="1"/>
  <c r="R191" i="5"/>
  <c r="S191" i="5"/>
  <c r="M134" i="5"/>
  <c r="Q134" i="5"/>
  <c r="O134" i="5" s="1"/>
  <c r="R134" i="5"/>
  <c r="S134" i="5"/>
  <c r="M135" i="5"/>
  <c r="Q135" i="5"/>
  <c r="O135" i="5" s="1"/>
  <c r="R135" i="5"/>
  <c r="S135" i="5"/>
  <c r="M302" i="5"/>
  <c r="Q302" i="5"/>
  <c r="R302" i="5"/>
  <c r="S302" i="5"/>
  <c r="M303" i="5"/>
  <c r="Q303" i="5"/>
  <c r="R303" i="5"/>
  <c r="S303" i="5"/>
  <c r="M304" i="5"/>
  <c r="Q304" i="5"/>
  <c r="O304" i="5" s="1"/>
  <c r="R304" i="5"/>
  <c r="S304" i="5"/>
  <c r="M305" i="5"/>
  <c r="Q305" i="5"/>
  <c r="O305" i="5" s="1"/>
  <c r="R305" i="5"/>
  <c r="S305" i="5"/>
  <c r="M442" i="5"/>
  <c r="Q442" i="5"/>
  <c r="O442" i="5" s="1"/>
  <c r="R442" i="5"/>
  <c r="S442" i="5"/>
  <c r="M277" i="5"/>
  <c r="Q277" i="5"/>
  <c r="O277" i="5" s="1"/>
  <c r="R277" i="5"/>
  <c r="S277" i="5"/>
  <c r="M280" i="5"/>
  <c r="Q280" i="5"/>
  <c r="O280" i="5" s="1"/>
  <c r="R280" i="5"/>
  <c r="S280" i="5"/>
  <c r="M283" i="5"/>
  <c r="Q283" i="5"/>
  <c r="R283" i="5"/>
  <c r="S283" i="5"/>
  <c r="M287" i="5"/>
  <c r="Q287" i="5"/>
  <c r="R287" i="5"/>
  <c r="S287" i="5"/>
  <c r="M73" i="5"/>
  <c r="Q73" i="5"/>
  <c r="O73" i="5" s="1"/>
  <c r="R73" i="5"/>
  <c r="S73" i="5"/>
  <c r="M245" i="5"/>
  <c r="Q245" i="5"/>
  <c r="O245" i="5" s="1"/>
  <c r="R245" i="5"/>
  <c r="S245" i="5"/>
  <c r="M414" i="5"/>
  <c r="Q414" i="5"/>
  <c r="O414" i="5" s="1"/>
  <c r="R414" i="5"/>
  <c r="S414" i="5"/>
  <c r="M415" i="5"/>
  <c r="Q415" i="5"/>
  <c r="O415" i="5" s="1"/>
  <c r="R415" i="5"/>
  <c r="S415" i="5"/>
  <c r="M416" i="5"/>
  <c r="Q416" i="5"/>
  <c r="R416" i="5"/>
  <c r="S416" i="5"/>
  <c r="M295" i="5"/>
  <c r="Q295" i="5"/>
  <c r="O295" i="5" s="1"/>
  <c r="R295" i="5"/>
  <c r="S295" i="5"/>
  <c r="M296" i="5"/>
  <c r="Q296" i="5"/>
  <c r="O296" i="5" s="1"/>
  <c r="R296" i="5"/>
  <c r="S296" i="5"/>
  <c r="M297" i="5"/>
  <c r="Q297" i="5"/>
  <c r="R297" i="5"/>
  <c r="S297" i="5"/>
  <c r="M327" i="5"/>
  <c r="Q327" i="5"/>
  <c r="O327" i="5" s="1"/>
  <c r="R327" i="5"/>
  <c r="S327" i="5"/>
  <c r="M278" i="5"/>
  <c r="Q278" i="5"/>
  <c r="O278" i="5" s="1"/>
  <c r="R278" i="5"/>
  <c r="S278" i="5"/>
  <c r="M308" i="5"/>
  <c r="Q308" i="5"/>
  <c r="R308" i="5"/>
  <c r="S308" i="5"/>
  <c r="M451" i="5"/>
  <c r="Q451" i="5"/>
  <c r="R451" i="5"/>
  <c r="S451" i="5"/>
  <c r="M288" i="5"/>
  <c r="Q288" i="5"/>
  <c r="R288" i="5"/>
  <c r="S288" i="5"/>
  <c r="M328" i="5"/>
  <c r="Q328" i="5"/>
  <c r="O328" i="5" s="1"/>
  <c r="R328" i="5"/>
  <c r="S328" i="5"/>
  <c r="M320" i="5"/>
  <c r="Q320" i="5"/>
  <c r="O320" i="5" s="1"/>
  <c r="R320" i="5"/>
  <c r="S320" i="5"/>
  <c r="M321" i="5"/>
  <c r="Q321" i="5"/>
  <c r="R321" i="5"/>
  <c r="S321" i="5"/>
  <c r="M322" i="5"/>
  <c r="Q322" i="5"/>
  <c r="R322" i="5"/>
  <c r="S322" i="5"/>
  <c r="M448" i="5"/>
  <c r="Q448" i="5"/>
  <c r="R448" i="5"/>
  <c r="S448" i="5"/>
  <c r="M445" i="5"/>
  <c r="Q445" i="5"/>
  <c r="R445" i="5"/>
  <c r="S445" i="5"/>
  <c r="M455" i="5"/>
  <c r="Q455" i="5"/>
  <c r="P455" i="5" s="1"/>
  <c r="R455" i="5"/>
  <c r="S455" i="5"/>
  <c r="M456" i="5"/>
  <c r="Q456" i="5"/>
  <c r="R456" i="5"/>
  <c r="S456" i="5"/>
  <c r="M187" i="5"/>
  <c r="Q187" i="5"/>
  <c r="R187" i="5"/>
  <c r="S187" i="5"/>
  <c r="M143" i="5"/>
  <c r="Q143" i="5"/>
  <c r="R143" i="5"/>
  <c r="S143" i="5"/>
  <c r="M141" i="5"/>
  <c r="Q141" i="5"/>
  <c r="P141" i="5" s="1"/>
  <c r="R141" i="5"/>
  <c r="S141" i="5"/>
  <c r="M395" i="5"/>
  <c r="Q395" i="5"/>
  <c r="R395" i="5"/>
  <c r="S395" i="5"/>
  <c r="M175" i="5"/>
  <c r="Q175" i="5"/>
  <c r="R175" i="5"/>
  <c r="S175" i="5"/>
  <c r="M251" i="5"/>
  <c r="Q251" i="5"/>
  <c r="R251" i="5"/>
  <c r="S251" i="5"/>
  <c r="M212" i="5"/>
  <c r="Q212" i="5"/>
  <c r="P212" i="5" s="1"/>
  <c r="R212" i="5"/>
  <c r="S212" i="5"/>
  <c r="M331" i="5"/>
  <c r="Q331" i="5"/>
  <c r="P331" i="5" s="1"/>
  <c r="R331" i="5"/>
  <c r="S331" i="5"/>
  <c r="M332" i="5"/>
  <c r="Q332" i="5"/>
  <c r="R332" i="5"/>
  <c r="S332" i="5"/>
  <c r="M388" i="5"/>
  <c r="Q388" i="5"/>
  <c r="R388" i="5"/>
  <c r="S388" i="5"/>
  <c r="M373" i="5"/>
  <c r="Q373" i="5"/>
  <c r="P373" i="5" s="1"/>
  <c r="R373" i="5"/>
  <c r="S373" i="5"/>
  <c r="M378" i="5"/>
  <c r="Q378" i="5"/>
  <c r="N378" i="5" s="1"/>
  <c r="R378" i="5"/>
  <c r="S378" i="5"/>
  <c r="M368" i="5"/>
  <c r="Q368" i="5"/>
  <c r="R368" i="5"/>
  <c r="S368" i="5"/>
  <c r="M383" i="5"/>
  <c r="Q383" i="5"/>
  <c r="P383" i="5" s="1"/>
  <c r="R383" i="5"/>
  <c r="S383" i="5"/>
  <c r="M146" i="5"/>
  <c r="Q146" i="5"/>
  <c r="P146" i="5" s="1"/>
  <c r="R146" i="5"/>
  <c r="S146" i="5"/>
  <c r="M157" i="5"/>
  <c r="Q157" i="5"/>
  <c r="R157" i="5"/>
  <c r="S157" i="5"/>
  <c r="M114" i="5"/>
  <c r="Q114" i="5"/>
  <c r="R114" i="5"/>
  <c r="S114" i="5"/>
  <c r="M200" i="5"/>
  <c r="Q200" i="5"/>
  <c r="R200" i="5"/>
  <c r="S200" i="5"/>
  <c r="M195" i="5"/>
  <c r="Q195" i="5"/>
  <c r="P195" i="5" s="1"/>
  <c r="R195" i="5"/>
  <c r="S195" i="5"/>
  <c r="M232" i="5"/>
  <c r="Q232" i="5"/>
  <c r="N232" i="5" s="1"/>
  <c r="R232" i="5"/>
  <c r="S232" i="5"/>
  <c r="M227" i="5"/>
  <c r="Q227" i="5"/>
  <c r="R227" i="5"/>
  <c r="S227" i="5"/>
  <c r="M246" i="5"/>
  <c r="Q246" i="5"/>
  <c r="O246" i="5" s="1"/>
  <c r="R246" i="5"/>
  <c r="S246" i="5"/>
  <c r="M309" i="5"/>
  <c r="Q309" i="5"/>
  <c r="P309" i="5" s="1"/>
  <c r="R309" i="5"/>
  <c r="S309" i="5"/>
  <c r="M433" i="5"/>
  <c r="Q433" i="5"/>
  <c r="P433" i="5" s="1"/>
  <c r="R433" i="5"/>
  <c r="S433" i="5"/>
  <c r="M164" i="5"/>
  <c r="Q164" i="5"/>
  <c r="R164" i="5"/>
  <c r="S164" i="5"/>
  <c r="M207" i="5"/>
  <c r="Q207" i="5"/>
  <c r="R207" i="5"/>
  <c r="S207" i="5"/>
  <c r="M402" i="5"/>
  <c r="Q402" i="5"/>
  <c r="P402" i="5" s="1"/>
  <c r="R402" i="5"/>
  <c r="S402" i="5"/>
  <c r="M76" i="5"/>
  <c r="Q76" i="5"/>
  <c r="N76" i="5" s="1"/>
  <c r="R76" i="5"/>
  <c r="S76" i="5"/>
  <c r="M136" i="5"/>
  <c r="Q136" i="5"/>
  <c r="R136" i="5"/>
  <c r="S136" i="5"/>
  <c r="M269" i="5"/>
  <c r="Q269" i="5"/>
  <c r="O269" i="5" s="1"/>
  <c r="R269" i="5"/>
  <c r="S269" i="5"/>
  <c r="M82" i="5"/>
  <c r="Q82" i="5"/>
  <c r="P82" i="5" s="1"/>
  <c r="R82" i="5"/>
  <c r="S82" i="5"/>
  <c r="M428" i="5"/>
  <c r="Q428" i="5"/>
  <c r="R428" i="5"/>
  <c r="S428" i="5"/>
  <c r="M417" i="5"/>
  <c r="Q417" i="5"/>
  <c r="R417" i="5"/>
  <c r="S417" i="5"/>
  <c r="M238" i="5"/>
  <c r="Q238" i="5"/>
  <c r="R238" i="5"/>
  <c r="S238" i="5"/>
  <c r="M144" i="5"/>
  <c r="Q144" i="5"/>
  <c r="P144" i="5" s="1"/>
  <c r="R144" i="5"/>
  <c r="S144" i="5"/>
  <c r="M142" i="5"/>
  <c r="Q142" i="5"/>
  <c r="N142" i="5" s="1"/>
  <c r="R142" i="5"/>
  <c r="S142" i="5"/>
  <c r="M396" i="5"/>
  <c r="Q396" i="5"/>
  <c r="R396" i="5"/>
  <c r="S396" i="5"/>
  <c r="M176" i="5"/>
  <c r="Q176" i="5"/>
  <c r="R176" i="5"/>
  <c r="S176" i="5"/>
  <c r="M252" i="5"/>
  <c r="Q252" i="5"/>
  <c r="O252" i="5" s="1"/>
  <c r="P1056" i="5" s="1"/>
  <c r="R252" i="5"/>
  <c r="S252" i="5"/>
  <c r="M213" i="5"/>
  <c r="Q213" i="5"/>
  <c r="R213" i="5"/>
  <c r="S213" i="5"/>
  <c r="M333" i="5"/>
  <c r="Q333" i="5"/>
  <c r="O333" i="5" s="1"/>
  <c r="R333" i="5"/>
  <c r="S333" i="5"/>
  <c r="M334" i="5"/>
  <c r="Q334" i="5"/>
  <c r="O334" i="5" s="1"/>
  <c r="R334" i="5"/>
  <c r="S334" i="5"/>
  <c r="M389" i="5"/>
  <c r="Q389" i="5"/>
  <c r="O389" i="5" s="1"/>
  <c r="R389" i="5"/>
  <c r="S389" i="5"/>
  <c r="M374" i="5"/>
  <c r="Q374" i="5"/>
  <c r="P374" i="5" s="1"/>
  <c r="R374" i="5"/>
  <c r="S374" i="5"/>
  <c r="M379" i="5"/>
  <c r="Q379" i="5"/>
  <c r="O379" i="5" s="1"/>
  <c r="R379" i="5"/>
  <c r="S379" i="5"/>
  <c r="M369" i="5"/>
  <c r="Q369" i="5"/>
  <c r="R369" i="5"/>
  <c r="S369" i="5"/>
  <c r="M384" i="5"/>
  <c r="Q384" i="5"/>
  <c r="R384" i="5"/>
  <c r="S384" i="5"/>
  <c r="M147" i="5"/>
  <c r="Q147" i="5"/>
  <c r="P147" i="5" s="1"/>
  <c r="R147" i="5"/>
  <c r="S147" i="5"/>
  <c r="M158" i="5"/>
  <c r="Q158" i="5"/>
  <c r="R158" i="5"/>
  <c r="S158" i="5"/>
  <c r="M115" i="5"/>
  <c r="Q115" i="5"/>
  <c r="O115" i="5" s="1"/>
  <c r="R115" i="5"/>
  <c r="S115" i="5"/>
  <c r="M201" i="5"/>
  <c r="Q201" i="5"/>
  <c r="O201" i="5" s="1"/>
  <c r="R201" i="5"/>
  <c r="S201" i="5"/>
  <c r="M196" i="5"/>
  <c r="Q196" i="5"/>
  <c r="R196" i="5"/>
  <c r="S196" i="5"/>
  <c r="M233" i="5"/>
  <c r="Q233" i="5"/>
  <c r="O233" i="5" s="1"/>
  <c r="R233" i="5"/>
  <c r="S233" i="5"/>
  <c r="M228" i="5"/>
  <c r="Q228" i="5"/>
  <c r="O228" i="5" s="1"/>
  <c r="R228" i="5"/>
  <c r="S228" i="5"/>
  <c r="M247" i="5"/>
  <c r="Q247" i="5"/>
  <c r="O247" i="5" s="1"/>
  <c r="R247" i="5"/>
  <c r="S247" i="5"/>
  <c r="M310" i="5"/>
  <c r="Q310" i="5"/>
  <c r="R310" i="5"/>
  <c r="S310" i="5"/>
  <c r="M434" i="5"/>
  <c r="Q434" i="5"/>
  <c r="R434" i="5"/>
  <c r="S434" i="5"/>
  <c r="M165" i="5"/>
  <c r="Q165" i="5"/>
  <c r="R165" i="5"/>
  <c r="S165" i="5"/>
  <c r="M208" i="5"/>
  <c r="Q208" i="5"/>
  <c r="O208" i="5" s="1"/>
  <c r="R208" i="5"/>
  <c r="S208" i="5"/>
  <c r="M403" i="5"/>
  <c r="Q403" i="5"/>
  <c r="P403" i="5" s="1"/>
  <c r="R403" i="5"/>
  <c r="S403" i="5"/>
  <c r="M77" i="5"/>
  <c r="Q77" i="5"/>
  <c r="O77" i="5" s="1"/>
  <c r="R77" i="5"/>
  <c r="S77" i="5"/>
  <c r="M137" i="5"/>
  <c r="Q137" i="5"/>
  <c r="R137" i="5"/>
  <c r="S137" i="5"/>
  <c r="M270" i="5"/>
  <c r="Q270" i="5"/>
  <c r="R270" i="5"/>
  <c r="S270" i="5"/>
  <c r="M83" i="5"/>
  <c r="Q83" i="5"/>
  <c r="P83" i="5" s="1"/>
  <c r="R83" i="5"/>
  <c r="S83" i="5"/>
  <c r="M429" i="5"/>
  <c r="Q429" i="5"/>
  <c r="R429" i="5"/>
  <c r="S429" i="5"/>
  <c r="M418" i="5"/>
  <c r="Q418" i="5"/>
  <c r="O418" i="5" s="1"/>
  <c r="R418" i="5"/>
  <c r="S418" i="5"/>
  <c r="M239" i="5"/>
  <c r="Q239" i="5"/>
  <c r="O239" i="5" s="1"/>
  <c r="R239" i="5"/>
  <c r="S239" i="5"/>
  <c r="M397" i="5"/>
  <c r="Q397" i="5"/>
  <c r="R397" i="5"/>
  <c r="S397" i="5"/>
  <c r="M398" i="5"/>
  <c r="Q398" i="5"/>
  <c r="O398" i="5" s="1"/>
  <c r="R398" i="5"/>
  <c r="S398" i="5"/>
  <c r="M335" i="5"/>
  <c r="Q335" i="5"/>
  <c r="O335" i="5" s="1"/>
  <c r="R335" i="5"/>
  <c r="S335" i="5"/>
  <c r="M390" i="5"/>
  <c r="Q390" i="5"/>
  <c r="O390" i="5" s="1"/>
  <c r="R390" i="5"/>
  <c r="S390" i="5"/>
  <c r="M375" i="5"/>
  <c r="Q375" i="5"/>
  <c r="P375" i="5" s="1"/>
  <c r="R375" i="5"/>
  <c r="S375" i="5"/>
  <c r="M380" i="5"/>
  <c r="Q380" i="5"/>
  <c r="O380" i="5" s="1"/>
  <c r="R380" i="5"/>
  <c r="S380" i="5"/>
  <c r="M370" i="5"/>
  <c r="Q370" i="5"/>
  <c r="O370" i="5" s="1"/>
  <c r="R370" i="5"/>
  <c r="S370" i="5"/>
  <c r="M393" i="5"/>
  <c r="Q393" i="5"/>
  <c r="O393" i="5" s="1"/>
  <c r="R393" i="5"/>
  <c r="S393" i="5"/>
  <c r="M385" i="5"/>
  <c r="Q385" i="5"/>
  <c r="R385" i="5"/>
  <c r="S385" i="5"/>
  <c r="M148" i="5"/>
  <c r="Q148" i="5"/>
  <c r="O148" i="5" s="1"/>
  <c r="R148" i="5"/>
  <c r="S148" i="5"/>
  <c r="M159" i="5"/>
  <c r="Q159" i="5"/>
  <c r="O159" i="5" s="1"/>
  <c r="R159" i="5"/>
  <c r="S159" i="5"/>
  <c r="M116" i="5"/>
  <c r="Q116" i="5"/>
  <c r="R116" i="5"/>
  <c r="S116" i="5"/>
  <c r="M117" i="5"/>
  <c r="Q117" i="5"/>
  <c r="P117" i="5" s="1"/>
  <c r="R117" i="5"/>
  <c r="S117" i="5"/>
  <c r="M399" i="5"/>
  <c r="Q399" i="5"/>
  <c r="R399" i="5"/>
  <c r="S399" i="5"/>
  <c r="M202" i="5"/>
  <c r="Q202" i="5"/>
  <c r="O202" i="5" s="1"/>
  <c r="R202" i="5"/>
  <c r="S202" i="5"/>
  <c r="M439" i="5"/>
  <c r="Q439" i="5"/>
  <c r="O439" i="5" s="1"/>
  <c r="R439" i="5"/>
  <c r="S439" i="5"/>
  <c r="M197" i="5"/>
  <c r="Q197" i="5"/>
  <c r="P197" i="5" s="1"/>
  <c r="R197" i="5"/>
  <c r="S197" i="5"/>
  <c r="M234" i="5"/>
  <c r="Q234" i="5"/>
  <c r="O234" i="5" s="1"/>
  <c r="R234" i="5"/>
  <c r="S234" i="5"/>
  <c r="M229" i="5"/>
  <c r="Q229" i="5"/>
  <c r="R229" i="5"/>
  <c r="S229" i="5"/>
  <c r="M248" i="5"/>
  <c r="Q248" i="5"/>
  <c r="R248" i="5"/>
  <c r="S248" i="5"/>
  <c r="M311" i="5"/>
  <c r="Q311" i="5"/>
  <c r="R311" i="5"/>
  <c r="S311" i="5"/>
  <c r="M435" i="5"/>
  <c r="Q435" i="5"/>
  <c r="O435" i="5" s="1"/>
  <c r="R435" i="5"/>
  <c r="S435" i="5"/>
  <c r="M166" i="5"/>
  <c r="Q166" i="5"/>
  <c r="O166" i="5" s="1"/>
  <c r="R166" i="5"/>
  <c r="S166" i="5"/>
  <c r="M209" i="5"/>
  <c r="Q209" i="5"/>
  <c r="O209" i="5" s="1"/>
  <c r="R209" i="5"/>
  <c r="S209" i="5"/>
  <c r="M404" i="5"/>
  <c r="Q404" i="5"/>
  <c r="R404" i="5"/>
  <c r="S404" i="5"/>
  <c r="M78" i="5"/>
  <c r="Q78" i="5"/>
  <c r="O78" i="5" s="1"/>
  <c r="R78" i="5"/>
  <c r="S78" i="5"/>
  <c r="M353" i="5"/>
  <c r="Q353" i="5"/>
  <c r="O353" i="5" s="1"/>
  <c r="R353" i="5"/>
  <c r="S353" i="5"/>
  <c r="M138" i="5"/>
  <c r="Q138" i="5"/>
  <c r="R138" i="5"/>
  <c r="S138" i="5"/>
  <c r="M271" i="5"/>
  <c r="Q271" i="5"/>
  <c r="P271" i="5" s="1"/>
  <c r="R271" i="5"/>
  <c r="S271" i="5"/>
  <c r="M84" i="5"/>
  <c r="Q84" i="5"/>
  <c r="R84" i="5"/>
  <c r="S84" i="5"/>
  <c r="M430" i="5"/>
  <c r="Q430" i="5"/>
  <c r="R430" i="5"/>
  <c r="S430" i="5"/>
  <c r="M419" i="5"/>
  <c r="Q419" i="5"/>
  <c r="O419" i="5" s="1"/>
  <c r="R419" i="5"/>
  <c r="S419" i="5"/>
  <c r="M240" i="5"/>
  <c r="Q240" i="5"/>
  <c r="O240" i="5" s="1"/>
  <c r="R240" i="5"/>
  <c r="S240" i="5"/>
  <c r="M400" i="5"/>
  <c r="Q400" i="5"/>
  <c r="O400" i="5" s="1"/>
  <c r="R400" i="5"/>
  <c r="S400" i="5"/>
  <c r="M336" i="5"/>
  <c r="Q336" i="5"/>
  <c r="R336" i="5"/>
  <c r="S336" i="5"/>
  <c r="M391" i="5"/>
  <c r="Q391" i="5"/>
  <c r="O391" i="5" s="1"/>
  <c r="R391" i="5"/>
  <c r="S391" i="5"/>
  <c r="M376" i="5"/>
  <c r="Q376" i="5"/>
  <c r="O376" i="5" s="1"/>
  <c r="R376" i="5"/>
  <c r="S376" i="5"/>
  <c r="M381" i="5"/>
  <c r="Q381" i="5"/>
  <c r="R381" i="5"/>
  <c r="S381" i="5"/>
  <c r="M371" i="5"/>
  <c r="Q371" i="5"/>
  <c r="R371" i="5"/>
  <c r="S371" i="5"/>
  <c r="M394" i="5"/>
  <c r="Q394" i="5"/>
  <c r="O394" i="5" s="1"/>
  <c r="R394" i="5"/>
  <c r="S394" i="5"/>
  <c r="M386" i="5"/>
  <c r="Q386" i="5"/>
  <c r="R386" i="5"/>
  <c r="S386" i="5"/>
  <c r="M149" i="5"/>
  <c r="Q149" i="5"/>
  <c r="O149" i="5" s="1"/>
  <c r="R149" i="5"/>
  <c r="S149" i="5"/>
  <c r="M160" i="5"/>
  <c r="Q160" i="5"/>
  <c r="O160" i="5" s="1"/>
  <c r="R160" i="5"/>
  <c r="S160" i="5"/>
  <c r="M118" i="5"/>
  <c r="Q118" i="5"/>
  <c r="O118" i="5" s="1"/>
  <c r="R118" i="5"/>
  <c r="S118" i="5"/>
  <c r="M203" i="5"/>
  <c r="Q203" i="5"/>
  <c r="R203" i="5"/>
  <c r="S203" i="5"/>
  <c r="M198" i="5"/>
  <c r="Q198" i="5"/>
  <c r="O198" i="5" s="1"/>
  <c r="R198" i="5"/>
  <c r="S198" i="5"/>
  <c r="M235" i="5"/>
  <c r="Q235" i="5"/>
  <c r="P235" i="5" s="1"/>
  <c r="R235" i="5"/>
  <c r="S235" i="5"/>
  <c r="M230" i="5"/>
  <c r="Q230" i="5"/>
  <c r="R230" i="5"/>
  <c r="S230" i="5"/>
  <c r="M249" i="5"/>
  <c r="Q249" i="5"/>
  <c r="R249" i="5"/>
  <c r="S249" i="5"/>
  <c r="M312" i="5"/>
  <c r="Q312" i="5"/>
  <c r="R312" i="5"/>
  <c r="S312" i="5"/>
  <c r="M436" i="5"/>
  <c r="Q436" i="5"/>
  <c r="R436" i="5"/>
  <c r="S436" i="5"/>
  <c r="M167" i="5"/>
  <c r="Q167" i="5"/>
  <c r="O167" i="5" s="1"/>
  <c r="R167" i="5"/>
  <c r="S167" i="5"/>
  <c r="M210" i="5"/>
  <c r="Q210" i="5"/>
  <c r="P210" i="5" s="1"/>
  <c r="R210" i="5"/>
  <c r="S210" i="5"/>
  <c r="M405" i="5"/>
  <c r="Q405" i="5"/>
  <c r="O405" i="5" s="1"/>
  <c r="R405" i="5"/>
  <c r="S405" i="5"/>
  <c r="M79" i="5"/>
  <c r="Q79" i="5"/>
  <c r="P79" i="5" s="1"/>
  <c r="R79" i="5"/>
  <c r="S79" i="5"/>
  <c r="M139" i="5"/>
  <c r="Q139" i="5"/>
  <c r="R139" i="5"/>
  <c r="S139" i="5"/>
  <c r="M272" i="5"/>
  <c r="Q272" i="5"/>
  <c r="N272" i="5" s="1"/>
  <c r="R272" i="5"/>
  <c r="S272" i="5"/>
  <c r="M85" i="5"/>
  <c r="Q85" i="5"/>
  <c r="N85" i="5" s="1"/>
  <c r="R85" i="5"/>
  <c r="S85" i="5"/>
  <c r="M431" i="5"/>
  <c r="Q431" i="5"/>
  <c r="O431" i="5" s="1"/>
  <c r="R431" i="5"/>
  <c r="S431" i="5"/>
  <c r="M420" i="5"/>
  <c r="Q420" i="5"/>
  <c r="O420" i="5" s="1"/>
  <c r="R420" i="5"/>
  <c r="S420" i="5"/>
  <c r="M241" i="5"/>
  <c r="Q241" i="5"/>
  <c r="N241" i="5" s="1"/>
  <c r="R241" i="5"/>
  <c r="S241" i="5"/>
  <c r="M401" i="5"/>
  <c r="Q401" i="5"/>
  <c r="N401" i="5" s="1"/>
  <c r="R401" i="5"/>
  <c r="S401" i="5"/>
  <c r="M337" i="5"/>
  <c r="Q337" i="5"/>
  <c r="O337" i="5" s="1"/>
  <c r="R337" i="5"/>
  <c r="S337" i="5"/>
  <c r="M392" i="5"/>
  <c r="Q392" i="5"/>
  <c r="P392" i="5" s="1"/>
  <c r="R392" i="5"/>
  <c r="S392" i="5"/>
  <c r="M377" i="5"/>
  <c r="Q377" i="5"/>
  <c r="P377" i="5" s="1"/>
  <c r="R377" i="5"/>
  <c r="S377" i="5"/>
  <c r="M382" i="5"/>
  <c r="Q382" i="5"/>
  <c r="R382" i="5"/>
  <c r="S382" i="5"/>
  <c r="M372" i="5"/>
  <c r="Q372" i="5"/>
  <c r="R372" i="5"/>
  <c r="S372" i="5"/>
  <c r="M387" i="5"/>
  <c r="Q387" i="5"/>
  <c r="P387" i="5" s="1"/>
  <c r="R387" i="5"/>
  <c r="S387" i="5"/>
  <c r="M150" i="5"/>
  <c r="Q150" i="5"/>
  <c r="R150" i="5"/>
  <c r="S150" i="5"/>
  <c r="M151" i="5"/>
  <c r="Q151" i="5"/>
  <c r="N151" i="5" s="1"/>
  <c r="R151" i="5"/>
  <c r="S151" i="5"/>
  <c r="M161" i="5"/>
  <c r="Q161" i="5"/>
  <c r="O161" i="5" s="1"/>
  <c r="R161" i="5"/>
  <c r="S161" i="5"/>
  <c r="M119" i="5"/>
  <c r="Q119" i="5"/>
  <c r="N119" i="5" s="1"/>
  <c r="R119" i="5"/>
  <c r="S119" i="5"/>
  <c r="M204" i="5"/>
  <c r="Q204" i="5"/>
  <c r="N204" i="5" s="1"/>
  <c r="R204" i="5"/>
  <c r="S204" i="5"/>
  <c r="M199" i="5"/>
  <c r="Q199" i="5"/>
  <c r="R199" i="5"/>
  <c r="S199" i="5"/>
  <c r="M236" i="5"/>
  <c r="Q236" i="5"/>
  <c r="P236" i="5" s="1"/>
  <c r="R236" i="5"/>
  <c r="S236" i="5"/>
  <c r="M231" i="5"/>
  <c r="Q231" i="5"/>
  <c r="P231" i="5" s="1"/>
  <c r="R231" i="5"/>
  <c r="S231" i="5"/>
  <c r="M250" i="5"/>
  <c r="Q250" i="5"/>
  <c r="N250" i="5" s="1"/>
  <c r="R250" i="5"/>
  <c r="S250" i="5"/>
  <c r="M313" i="5"/>
  <c r="Q313" i="5"/>
  <c r="R313" i="5"/>
  <c r="S313" i="5"/>
  <c r="M437" i="5"/>
  <c r="Q437" i="5"/>
  <c r="P437" i="5" s="1"/>
  <c r="R437" i="5"/>
  <c r="S437" i="5"/>
  <c r="M168" i="5"/>
  <c r="Q168" i="5"/>
  <c r="N168" i="5" s="1"/>
  <c r="R168" i="5"/>
  <c r="S168" i="5"/>
  <c r="M211" i="5"/>
  <c r="Q211" i="5"/>
  <c r="N211" i="5" s="1"/>
  <c r="R211" i="5"/>
  <c r="S211" i="5"/>
  <c r="M406" i="5"/>
  <c r="Q406" i="5"/>
  <c r="R406" i="5"/>
  <c r="S406" i="5"/>
  <c r="M80" i="5"/>
  <c r="Q80" i="5"/>
  <c r="R80" i="5"/>
  <c r="S80" i="5"/>
  <c r="M140" i="5"/>
  <c r="Q140" i="5"/>
  <c r="R140" i="5"/>
  <c r="S140" i="5"/>
  <c r="M273" i="5"/>
  <c r="Q273" i="5"/>
  <c r="N273" i="5" s="1"/>
  <c r="R273" i="5"/>
  <c r="S273" i="5"/>
  <c r="M86" i="5"/>
  <c r="Q86" i="5"/>
  <c r="R86" i="5"/>
  <c r="S86" i="5"/>
  <c r="M432" i="5"/>
  <c r="Q432" i="5"/>
  <c r="R432" i="5"/>
  <c r="S432" i="5"/>
  <c r="M421" i="5"/>
  <c r="Q421" i="5"/>
  <c r="P421" i="5" s="1"/>
  <c r="R421" i="5"/>
  <c r="S421" i="5"/>
  <c r="M242" i="5"/>
  <c r="Q242" i="5"/>
  <c r="N242" i="5" s="1"/>
  <c r="R242" i="5"/>
  <c r="S242" i="5"/>
  <c r="P321" i="5" l="1"/>
  <c r="O321" i="5"/>
  <c r="P288" i="5"/>
  <c r="O288" i="5"/>
  <c r="P451" i="5"/>
  <c r="O451" i="5"/>
  <c r="N308" i="5"/>
  <c r="O308" i="5"/>
  <c r="P297" i="5"/>
  <c r="O297" i="5"/>
  <c r="P416" i="5"/>
  <c r="O416" i="5"/>
  <c r="P287" i="5"/>
  <c r="O287" i="5"/>
  <c r="P283" i="5"/>
  <c r="O283" i="5"/>
  <c r="P303" i="5"/>
  <c r="O303" i="5"/>
  <c r="P302" i="5"/>
  <c r="O302" i="5"/>
  <c r="P128" i="5"/>
  <c r="O128" i="5"/>
  <c r="P127" i="5"/>
  <c r="O127" i="5"/>
  <c r="P99" i="5"/>
  <c r="O99" i="5"/>
  <c r="P454" i="5"/>
  <c r="O454" i="5"/>
  <c r="P453" i="5"/>
  <c r="O453" i="5"/>
  <c r="N444" i="5"/>
  <c r="O444" i="5"/>
  <c r="P443" i="5"/>
  <c r="O443" i="5"/>
  <c r="P318" i="5"/>
  <c r="O318" i="5"/>
  <c r="P314" i="5"/>
  <c r="O314" i="5"/>
  <c r="P306" i="5"/>
  <c r="O306" i="5"/>
  <c r="P293" i="5"/>
  <c r="O293" i="5"/>
  <c r="P291" i="5"/>
  <c r="O291" i="5"/>
  <c r="N412" i="5"/>
  <c r="O412" i="5"/>
  <c r="P408" i="5"/>
  <c r="O408" i="5"/>
  <c r="N284" i="5"/>
  <c r="O284" i="5"/>
  <c r="P275" i="5"/>
  <c r="O275" i="5"/>
  <c r="N440" i="5"/>
  <c r="O440" i="5"/>
  <c r="P300" i="5"/>
  <c r="O300" i="5"/>
  <c r="N95" i="5"/>
  <c r="O95" i="5"/>
  <c r="N121" i="5"/>
  <c r="O121" i="5"/>
  <c r="N87" i="5"/>
  <c r="O87" i="5"/>
  <c r="P140" i="5"/>
  <c r="O140" i="5"/>
  <c r="I396" i="17"/>
  <c r="H376" i="17"/>
  <c r="S362" i="17"/>
  <c r="N30" i="5"/>
  <c r="N331" i="5"/>
  <c r="N291" i="5"/>
  <c r="N159" i="5"/>
  <c r="N261" i="5"/>
  <c r="N183" i="5"/>
  <c r="N228" i="5"/>
  <c r="N275" i="5"/>
  <c r="O352" i="5"/>
  <c r="O433" i="5"/>
  <c r="N97" i="5"/>
  <c r="P365" i="5"/>
  <c r="N52" i="5"/>
  <c r="N161" i="5"/>
  <c r="P240" i="5"/>
  <c r="N433" i="5"/>
  <c r="N210" i="5"/>
  <c r="P353" i="5"/>
  <c r="N374" i="5"/>
  <c r="P444" i="5"/>
  <c r="P152" i="5"/>
  <c r="N258" i="5"/>
  <c r="P66" i="5"/>
  <c r="P42" i="5"/>
  <c r="N25" i="5"/>
  <c r="O403" i="5"/>
  <c r="O145" i="5"/>
  <c r="O220" i="5"/>
  <c r="O62" i="5"/>
  <c r="N42" i="5"/>
  <c r="N20" i="5"/>
  <c r="N335" i="5"/>
  <c r="N180" i="5"/>
  <c r="P160" i="5"/>
  <c r="N353" i="5"/>
  <c r="P269" i="5"/>
  <c r="N447" i="5"/>
  <c r="O90" i="5"/>
  <c r="O350" i="5"/>
  <c r="N160" i="5"/>
  <c r="N166" i="5"/>
  <c r="N403" i="5"/>
  <c r="O331" i="5"/>
  <c r="N99" i="5"/>
  <c r="N90" i="5"/>
  <c r="N169" i="5"/>
  <c r="N216" i="5"/>
  <c r="N350" i="5"/>
  <c r="N62" i="5"/>
  <c r="P34" i="5"/>
  <c r="N240" i="5"/>
  <c r="N197" i="5"/>
  <c r="N418" i="5"/>
  <c r="N269" i="5"/>
  <c r="N246" i="5"/>
  <c r="O141" i="5"/>
  <c r="N416" i="5"/>
  <c r="N102" i="5"/>
  <c r="N306" i="5"/>
  <c r="N300" i="5"/>
  <c r="P120" i="5"/>
  <c r="O424" i="5"/>
  <c r="P223" i="5"/>
  <c r="N220" i="5"/>
  <c r="O72" i="5"/>
  <c r="O347" i="5"/>
  <c r="O66" i="5"/>
  <c r="P54" i="5"/>
  <c r="O46" i="5"/>
  <c r="P38" i="5"/>
  <c r="N34" i="5"/>
  <c r="P14" i="5"/>
  <c r="O6" i="5"/>
  <c r="N140" i="5"/>
  <c r="O231" i="5"/>
  <c r="O85" i="5"/>
  <c r="N408" i="5"/>
  <c r="O223" i="5"/>
  <c r="N72" i="5"/>
  <c r="N347" i="5"/>
  <c r="O54" i="5"/>
  <c r="N46" i="5"/>
  <c r="O38" i="5"/>
  <c r="O14" i="5"/>
  <c r="N6" i="5"/>
  <c r="N392" i="5"/>
  <c r="N231" i="5"/>
  <c r="O210" i="5"/>
  <c r="P335" i="5"/>
  <c r="O144" i="5"/>
  <c r="O406" i="5"/>
  <c r="N406" i="5"/>
  <c r="N203" i="5"/>
  <c r="O203" i="5"/>
  <c r="O229" i="5"/>
  <c r="N229" i="5"/>
  <c r="P385" i="5"/>
  <c r="N385" i="5"/>
  <c r="P196" i="5"/>
  <c r="N196" i="5"/>
  <c r="N320" i="5"/>
  <c r="N414" i="5"/>
  <c r="P191" i="5"/>
  <c r="N191" i="5"/>
  <c r="N281" i="5"/>
  <c r="N104" i="5"/>
  <c r="P104" i="5"/>
  <c r="P179" i="5"/>
  <c r="N179" i="5"/>
  <c r="P49" i="5"/>
  <c r="N49" i="5"/>
  <c r="O49" i="5"/>
  <c r="P9" i="5"/>
  <c r="N9" i="5"/>
  <c r="O9" i="5"/>
  <c r="P406" i="5"/>
  <c r="O387" i="5"/>
  <c r="N382" i="5"/>
  <c r="P382" i="5"/>
  <c r="P203" i="5"/>
  <c r="O430" i="5"/>
  <c r="N430" i="5"/>
  <c r="P229" i="5"/>
  <c r="O385" i="5"/>
  <c r="O137" i="5"/>
  <c r="N137" i="5"/>
  <c r="P137" i="5"/>
  <c r="O196" i="5"/>
  <c r="N334" i="5"/>
  <c r="O176" i="5"/>
  <c r="N176" i="5"/>
  <c r="P176" i="5"/>
  <c r="P277" i="5"/>
  <c r="N277" i="5"/>
  <c r="O315" i="5"/>
  <c r="P315" i="5"/>
  <c r="N324" i="5"/>
  <c r="P324" i="5"/>
  <c r="N411" i="5"/>
  <c r="P410" i="5"/>
  <c r="P281" i="5"/>
  <c r="N193" i="5"/>
  <c r="N96" i="5"/>
  <c r="O96" i="5"/>
  <c r="P96" i="5"/>
  <c r="P81" i="5"/>
  <c r="O81" i="5"/>
  <c r="N81" i="5"/>
  <c r="P432" i="5"/>
  <c r="N432" i="5"/>
  <c r="O369" i="5"/>
  <c r="N369" i="5"/>
  <c r="N428" i="5"/>
  <c r="O428" i="5"/>
  <c r="O157" i="5"/>
  <c r="P157" i="5"/>
  <c r="O251" i="5"/>
  <c r="N251" i="5"/>
  <c r="P251" i="5"/>
  <c r="N327" i="5"/>
  <c r="N315" i="5"/>
  <c r="O326" i="5"/>
  <c r="N326" i="5"/>
  <c r="N301" i="5"/>
  <c r="O301" i="5"/>
  <c r="N125" i="5"/>
  <c r="P125" i="5"/>
  <c r="P363" i="5"/>
  <c r="O363" i="5"/>
  <c r="N363" i="5"/>
  <c r="N174" i="5"/>
  <c r="O174" i="5"/>
  <c r="O28" i="5"/>
  <c r="N28" i="5"/>
  <c r="O432" i="5"/>
  <c r="O199" i="5"/>
  <c r="N199" i="5"/>
  <c r="P199" i="5"/>
  <c r="O401" i="5"/>
  <c r="O436" i="5"/>
  <c r="N436" i="5"/>
  <c r="P436" i="5"/>
  <c r="P404" i="5"/>
  <c r="N404" i="5"/>
  <c r="O404" i="5"/>
  <c r="N202" i="5"/>
  <c r="P397" i="5"/>
  <c r="N397" i="5"/>
  <c r="O397" i="5"/>
  <c r="O165" i="5"/>
  <c r="N165" i="5"/>
  <c r="P369" i="5"/>
  <c r="P428" i="5"/>
  <c r="N157" i="5"/>
  <c r="O383" i="5"/>
  <c r="N383" i="5"/>
  <c r="P326" i="5"/>
  <c r="P412" i="5"/>
  <c r="P284" i="5"/>
  <c r="P301" i="5"/>
  <c r="N186" i="5"/>
  <c r="O186" i="5"/>
  <c r="P351" i="5"/>
  <c r="N351" i="5"/>
  <c r="O351" i="5"/>
  <c r="N22" i="5"/>
  <c r="O22" i="5"/>
  <c r="P22" i="5"/>
  <c r="O110" i="5"/>
  <c r="O427" i="5"/>
  <c r="P329" i="5"/>
  <c r="P177" i="5"/>
  <c r="P180" i="5"/>
  <c r="O226" i="5"/>
  <c r="P217" i="5"/>
  <c r="P261" i="5"/>
  <c r="P265" i="5"/>
  <c r="O41" i="5"/>
  <c r="P30" i="5"/>
  <c r="O17" i="5"/>
  <c r="N4" i="5"/>
  <c r="P85" i="5"/>
  <c r="N376" i="5"/>
  <c r="O197" i="5"/>
  <c r="P159" i="5"/>
  <c r="N370" i="5"/>
  <c r="P228" i="5"/>
  <c r="N115" i="5"/>
  <c r="O374" i="5"/>
  <c r="O402" i="5"/>
  <c r="P246" i="5"/>
  <c r="N288" i="5"/>
  <c r="N305" i="5"/>
  <c r="P447" i="5"/>
  <c r="O163" i="5"/>
  <c r="O155" i="5"/>
  <c r="N110" i="5"/>
  <c r="N427" i="5"/>
  <c r="O169" i="5"/>
  <c r="O183" i="5"/>
  <c r="O1057" i="5" s="1"/>
  <c r="N226" i="5"/>
  <c r="N222" i="5"/>
  <c r="O216" i="5"/>
  <c r="O258" i="5"/>
  <c r="O265" i="5"/>
  <c r="P352" i="5"/>
  <c r="N44" i="5"/>
  <c r="N41" i="5"/>
  <c r="O25" i="5"/>
  <c r="N17" i="5"/>
  <c r="N12" i="5"/>
  <c r="O150" i="5"/>
  <c r="P150" i="5"/>
  <c r="N135" i="5"/>
  <c r="P135" i="5"/>
  <c r="P98" i="5"/>
  <c r="N190" i="5"/>
  <c r="O190" i="5"/>
  <c r="P190" i="5"/>
  <c r="O86" i="5"/>
  <c r="N86" i="5"/>
  <c r="P80" i="5"/>
  <c r="N80" i="5"/>
  <c r="O80" i="5"/>
  <c r="O249" i="5"/>
  <c r="P249" i="5"/>
  <c r="O371" i="5"/>
  <c r="N371" i="5"/>
  <c r="N311" i="5"/>
  <c r="O311" i="5"/>
  <c r="N310" i="5"/>
  <c r="O310" i="5"/>
  <c r="N213" i="5"/>
  <c r="O213" i="5"/>
  <c r="O207" i="5"/>
  <c r="N207" i="5"/>
  <c r="P207" i="5"/>
  <c r="P456" i="5"/>
  <c r="N456" i="5"/>
  <c r="O456" i="5"/>
  <c r="N101" i="5"/>
  <c r="P101" i="5"/>
  <c r="P274" i="5"/>
  <c r="N274" i="5"/>
  <c r="N421" i="5"/>
  <c r="O421" i="5"/>
  <c r="O372" i="5"/>
  <c r="N372" i="5"/>
  <c r="P372" i="5"/>
  <c r="O241" i="5"/>
  <c r="P241" i="5"/>
  <c r="O272" i="5"/>
  <c r="P272" i="5"/>
  <c r="N249" i="5"/>
  <c r="O235" i="5"/>
  <c r="N235" i="5"/>
  <c r="P371" i="5"/>
  <c r="P311" i="5"/>
  <c r="P310" i="5"/>
  <c r="P213" i="5"/>
  <c r="O238" i="5"/>
  <c r="N238" i="5"/>
  <c r="P238" i="5"/>
  <c r="O232" i="5"/>
  <c r="P232" i="5"/>
  <c r="O195" i="5"/>
  <c r="O143" i="5"/>
  <c r="N143" i="5"/>
  <c r="P143" i="5"/>
  <c r="N322" i="5"/>
  <c r="O322" i="5"/>
  <c r="P322" i="5"/>
  <c r="N296" i="5"/>
  <c r="P296" i="5"/>
  <c r="P442" i="5"/>
  <c r="P294" i="5"/>
  <c r="N294" i="5"/>
  <c r="P290" i="5"/>
  <c r="N290" i="5"/>
  <c r="O171" i="5"/>
  <c r="P171" i="5"/>
  <c r="N171" i="5"/>
  <c r="O40" i="5"/>
  <c r="N40" i="5"/>
  <c r="O119" i="5"/>
  <c r="P119" i="5"/>
  <c r="O386" i="5"/>
  <c r="N386" i="5"/>
  <c r="P386" i="5"/>
  <c r="O336" i="5"/>
  <c r="N336" i="5"/>
  <c r="P336" i="5"/>
  <c r="O142" i="5"/>
  <c r="P142" i="5"/>
  <c r="O200" i="5"/>
  <c r="N200" i="5"/>
  <c r="P200" i="5"/>
  <c r="O395" i="5"/>
  <c r="P395" i="5"/>
  <c r="P65" i="5"/>
  <c r="N65" i="5"/>
  <c r="O65" i="5"/>
  <c r="O168" i="5"/>
  <c r="P168" i="5"/>
  <c r="O437" i="5"/>
  <c r="N150" i="5"/>
  <c r="P420" i="5"/>
  <c r="N420" i="5"/>
  <c r="N375" i="5"/>
  <c r="O375" i="5"/>
  <c r="O378" i="5"/>
  <c r="P378" i="5"/>
  <c r="O373" i="5"/>
  <c r="N395" i="5"/>
  <c r="O317" i="5"/>
  <c r="N317" i="5"/>
  <c r="P317" i="5"/>
  <c r="P450" i="5"/>
  <c r="P219" i="5"/>
  <c r="O219" i="5"/>
  <c r="O313" i="5"/>
  <c r="N313" i="5"/>
  <c r="P313" i="5"/>
  <c r="N377" i="5"/>
  <c r="O377" i="5"/>
  <c r="O79" i="5"/>
  <c r="N79" i="5"/>
  <c r="N271" i="5"/>
  <c r="O271" i="5"/>
  <c r="N117" i="5"/>
  <c r="O117" i="5"/>
  <c r="N83" i="5"/>
  <c r="O83" i="5"/>
  <c r="N147" i="5"/>
  <c r="O147" i="5"/>
  <c r="O76" i="5"/>
  <c r="P76" i="5"/>
  <c r="O388" i="5"/>
  <c r="N388" i="5"/>
  <c r="P388" i="5"/>
  <c r="N73" i="5"/>
  <c r="P73" i="5"/>
  <c r="O449" i="5"/>
  <c r="N449" i="5"/>
  <c r="P449" i="5"/>
  <c r="N122" i="5"/>
  <c r="O122" i="5"/>
  <c r="P122" i="5"/>
  <c r="N131" i="5"/>
  <c r="O131" i="5"/>
  <c r="N154" i="5"/>
  <c r="O154" i="5"/>
  <c r="N107" i="5"/>
  <c r="P107" i="5"/>
  <c r="N170" i="5"/>
  <c r="O170" i="5"/>
  <c r="P185" i="5"/>
  <c r="N185" i="5"/>
  <c r="N74" i="5"/>
  <c r="O74" i="5"/>
  <c r="P74" i="5"/>
  <c r="O445" i="5"/>
  <c r="P445" i="5"/>
  <c r="P415" i="5"/>
  <c r="P194" i="5"/>
  <c r="O286" i="5"/>
  <c r="P286" i="5"/>
  <c r="N409" i="5"/>
  <c r="O409" i="5"/>
  <c r="P409" i="5"/>
  <c r="N279" i="5"/>
  <c r="P279" i="5"/>
  <c r="P131" i="5"/>
  <c r="P154" i="5"/>
  <c r="P170" i="5"/>
  <c r="O185" i="5"/>
  <c r="O1058" i="5" s="1"/>
  <c r="O8" i="5"/>
  <c r="N8" i="5"/>
  <c r="N132" i="5"/>
  <c r="P132" i="5"/>
  <c r="P94" i="5"/>
  <c r="N94" i="5"/>
  <c r="N123" i="5"/>
  <c r="P123" i="5"/>
  <c r="O236" i="5"/>
  <c r="P431" i="5"/>
  <c r="P376" i="5"/>
  <c r="P430" i="5"/>
  <c r="P166" i="5"/>
  <c r="P202" i="5"/>
  <c r="P370" i="5"/>
  <c r="P418" i="5"/>
  <c r="P165" i="5"/>
  <c r="P115" i="5"/>
  <c r="P334" i="5"/>
  <c r="O82" i="5"/>
  <c r="O309" i="5"/>
  <c r="O146" i="5"/>
  <c r="O212" i="5"/>
  <c r="O455" i="5"/>
  <c r="N445" i="5"/>
  <c r="P320" i="5"/>
  <c r="P308" i="5"/>
  <c r="P327" i="5"/>
  <c r="N283" i="5"/>
  <c r="N303" i="5"/>
  <c r="N127" i="5"/>
  <c r="N454" i="5"/>
  <c r="O319" i="5"/>
  <c r="P319" i="5"/>
  <c r="N286" i="5"/>
  <c r="N292" i="5"/>
  <c r="P292" i="5"/>
  <c r="P133" i="5"/>
  <c r="N339" i="5"/>
  <c r="O339" i="5"/>
  <c r="N112" i="5"/>
  <c r="P112" i="5"/>
  <c r="N111" i="5"/>
  <c r="O111" i="5"/>
  <c r="N423" i="5"/>
  <c r="O423" i="5"/>
  <c r="N113" i="5"/>
  <c r="P113" i="5"/>
  <c r="O225" i="5"/>
  <c r="P225" i="5"/>
  <c r="P407" i="5"/>
  <c r="O407" i="5"/>
  <c r="O32" i="5"/>
  <c r="N32" i="5"/>
  <c r="N91" i="5"/>
  <c r="N367" i="5"/>
  <c r="O367" i="5"/>
  <c r="N364" i="5"/>
  <c r="O364" i="5"/>
  <c r="N106" i="5"/>
  <c r="O106" i="5"/>
  <c r="N103" i="5"/>
  <c r="O103" i="5"/>
  <c r="N173" i="5"/>
  <c r="O173" i="5"/>
  <c r="N184" i="5"/>
  <c r="O184" i="5"/>
  <c r="N221" i="5"/>
  <c r="O221" i="5"/>
  <c r="N259" i="5"/>
  <c r="O259" i="5"/>
  <c r="P259" i="5"/>
  <c r="O50" i="5"/>
  <c r="N50" i="5"/>
  <c r="P50" i="5"/>
  <c r="P414" i="5"/>
  <c r="P305" i="5"/>
  <c r="P102" i="5"/>
  <c r="P97" i="5"/>
  <c r="O276" i="5"/>
  <c r="O413" i="5"/>
  <c r="O411" i="5"/>
  <c r="N243" i="5"/>
  <c r="O282" i="5"/>
  <c r="P91" i="5"/>
  <c r="P367" i="5"/>
  <c r="P364" i="5"/>
  <c r="N156" i="5"/>
  <c r="P156" i="5"/>
  <c r="P106" i="5"/>
  <c r="P103" i="5"/>
  <c r="N425" i="5"/>
  <c r="P425" i="5"/>
  <c r="P173" i="5"/>
  <c r="P184" i="5"/>
  <c r="N298" i="5"/>
  <c r="P298" i="5"/>
  <c r="P221" i="5"/>
  <c r="P264" i="5"/>
  <c r="N264" i="5"/>
  <c r="O264" i="5"/>
  <c r="P342" i="5"/>
  <c r="N342" i="5"/>
  <c r="O342" i="5"/>
  <c r="N346" i="5"/>
  <c r="O346" i="5"/>
  <c r="P69" i="5"/>
  <c r="N69" i="5"/>
  <c r="O267" i="5"/>
  <c r="P267" i="5"/>
  <c r="P61" i="5"/>
  <c r="N61" i="5"/>
  <c r="P57" i="5"/>
  <c r="N57" i="5"/>
  <c r="O57" i="5"/>
  <c r="P33" i="5"/>
  <c r="N33" i="5"/>
  <c r="N2" i="5"/>
  <c r="O2" i="5"/>
  <c r="P2" i="5"/>
  <c r="P87" i="5"/>
  <c r="P163" i="5"/>
  <c r="P155" i="5"/>
  <c r="P145" i="5"/>
  <c r="P424" i="5"/>
  <c r="P174" i="5"/>
  <c r="P186" i="5"/>
  <c r="P181" i="5"/>
  <c r="O179" i="5"/>
  <c r="O224" i="5"/>
  <c r="O222" i="5"/>
  <c r="N218" i="5"/>
  <c r="O214" i="5"/>
  <c r="N214" i="5"/>
  <c r="N267"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139" i="5"/>
  <c r="N139" i="5"/>
  <c r="P248" i="5"/>
  <c r="N248" i="5"/>
  <c r="N434" i="5"/>
  <c r="P434" i="5"/>
  <c r="P211" i="5"/>
  <c r="N437" i="5"/>
  <c r="P250" i="5"/>
  <c r="N236" i="5"/>
  <c r="P204" i="5"/>
  <c r="P151" i="5"/>
  <c r="P337" i="5"/>
  <c r="O139" i="5"/>
  <c r="N198" i="5"/>
  <c r="P198" i="5"/>
  <c r="P118" i="5"/>
  <c r="N118" i="5"/>
  <c r="P391" i="5"/>
  <c r="N391" i="5"/>
  <c r="N78" i="5"/>
  <c r="P78" i="5"/>
  <c r="P209" i="5"/>
  <c r="N209" i="5"/>
  <c r="O248" i="5"/>
  <c r="N148" i="5"/>
  <c r="P148" i="5"/>
  <c r="P393" i="5"/>
  <c r="N393" i="5"/>
  <c r="N77" i="5"/>
  <c r="P77" i="5"/>
  <c r="P208" i="5"/>
  <c r="N208" i="5"/>
  <c r="O434" i="5"/>
  <c r="N379" i="5"/>
  <c r="P379" i="5"/>
  <c r="P389" i="5"/>
  <c r="N389" i="5"/>
  <c r="N417" i="5"/>
  <c r="O417" i="5"/>
  <c r="P417" i="5"/>
  <c r="N164" i="5"/>
  <c r="O164" i="5"/>
  <c r="P164" i="5"/>
  <c r="N114" i="5"/>
  <c r="O114" i="5"/>
  <c r="P114" i="5"/>
  <c r="N332" i="5"/>
  <c r="O332" i="5"/>
  <c r="P332" i="5"/>
  <c r="N187" i="5"/>
  <c r="O187" i="5"/>
  <c r="P187" i="5"/>
  <c r="N328" i="5"/>
  <c r="P328" i="5"/>
  <c r="N295" i="5"/>
  <c r="P295" i="5"/>
  <c r="N280" i="5"/>
  <c r="P280" i="5"/>
  <c r="N134" i="5"/>
  <c r="P134" i="5"/>
  <c r="N100" i="5"/>
  <c r="P100" i="5"/>
  <c r="N289" i="5"/>
  <c r="P289" i="5"/>
  <c r="P244" i="5"/>
  <c r="N244" i="5"/>
  <c r="O244" i="5"/>
  <c r="N441" i="5"/>
  <c r="P441" i="5"/>
  <c r="P189" i="5"/>
  <c r="N189" i="5"/>
  <c r="N149" i="5"/>
  <c r="P149" i="5"/>
  <c r="N400" i="5"/>
  <c r="P400" i="5"/>
  <c r="N380" i="5"/>
  <c r="P380" i="5"/>
  <c r="P247" i="5"/>
  <c r="N247" i="5"/>
  <c r="N333" i="5"/>
  <c r="P333" i="5"/>
  <c r="P252" i="5"/>
  <c r="N252" i="5"/>
  <c r="N446" i="5"/>
  <c r="P446" i="5"/>
  <c r="N325" i="5"/>
  <c r="P325" i="5"/>
  <c r="N323" i="5"/>
  <c r="O323" i="5"/>
  <c r="P323" i="5"/>
  <c r="O273" i="5"/>
  <c r="O151" i="5"/>
  <c r="N337" i="5"/>
  <c r="N84" i="5"/>
  <c r="P84" i="5"/>
  <c r="N399" i="5"/>
  <c r="P399" i="5"/>
  <c r="N429" i="5"/>
  <c r="P429" i="5"/>
  <c r="N158" i="5"/>
  <c r="P158" i="5"/>
  <c r="P384" i="5"/>
  <c r="N384" i="5"/>
  <c r="N452" i="5"/>
  <c r="P452" i="5"/>
  <c r="N316" i="5"/>
  <c r="P316" i="5"/>
  <c r="N307" i="5"/>
  <c r="P307" i="5"/>
  <c r="N285" i="5"/>
  <c r="O285" i="5"/>
  <c r="P285" i="5"/>
  <c r="N192" i="5"/>
  <c r="P192" i="5"/>
  <c r="N435" i="5"/>
  <c r="P435" i="5"/>
  <c r="P390" i="5"/>
  <c r="N390" i="5"/>
  <c r="P242" i="5"/>
  <c r="P273" i="5"/>
  <c r="O242" i="5"/>
  <c r="P86" i="5"/>
  <c r="O211" i="5"/>
  <c r="O250" i="5"/>
  <c r="O204" i="5"/>
  <c r="N312" i="5"/>
  <c r="P312" i="5"/>
  <c r="P230" i="5"/>
  <c r="N230" i="5"/>
  <c r="N381" i="5"/>
  <c r="P381" i="5"/>
  <c r="P138" i="5"/>
  <c r="N138" i="5"/>
  <c r="P116" i="5"/>
  <c r="N116" i="5"/>
  <c r="P270" i="5"/>
  <c r="N270" i="5"/>
  <c r="P161" i="5"/>
  <c r="N387" i="5"/>
  <c r="O382" i="5"/>
  <c r="O392" i="5"/>
  <c r="P401" i="5"/>
  <c r="N431" i="5"/>
  <c r="N405" i="5"/>
  <c r="P405" i="5"/>
  <c r="P167" i="5"/>
  <c r="N167" i="5"/>
  <c r="O312" i="5"/>
  <c r="O230" i="5"/>
  <c r="P394" i="5"/>
  <c r="N394" i="5"/>
  <c r="O381" i="5"/>
  <c r="P419" i="5"/>
  <c r="N419" i="5"/>
  <c r="O84" i="5"/>
  <c r="O138" i="5"/>
  <c r="N234" i="5"/>
  <c r="P234" i="5"/>
  <c r="P439" i="5"/>
  <c r="N439" i="5"/>
  <c r="O399" i="5"/>
  <c r="O116" i="5"/>
  <c r="N398" i="5"/>
  <c r="P398" i="5"/>
  <c r="P239" i="5"/>
  <c r="N239" i="5"/>
  <c r="O429" i="5"/>
  <c r="O270" i="5"/>
  <c r="N233" i="5"/>
  <c r="P233" i="5"/>
  <c r="P201" i="5"/>
  <c r="N201" i="5"/>
  <c r="O158" i="5"/>
  <c r="O384" i="5"/>
  <c r="N396" i="5"/>
  <c r="O396" i="5"/>
  <c r="P396" i="5"/>
  <c r="N136" i="5"/>
  <c r="O136" i="5"/>
  <c r="P136" i="5"/>
  <c r="N227" i="5"/>
  <c r="O227" i="5"/>
  <c r="P227" i="5"/>
  <c r="N368" i="5"/>
  <c r="O368" i="5"/>
  <c r="P368" i="5"/>
  <c r="N175" i="5"/>
  <c r="O175" i="5"/>
  <c r="P175" i="5"/>
  <c r="N448" i="5"/>
  <c r="O448" i="5"/>
  <c r="P448" i="5"/>
  <c r="N278" i="5"/>
  <c r="P278" i="5"/>
  <c r="N245" i="5"/>
  <c r="P245" i="5"/>
  <c r="N304" i="5"/>
  <c r="P304" i="5"/>
  <c r="N129" i="5"/>
  <c r="P129" i="5"/>
  <c r="N340" i="5"/>
  <c r="P340" i="5"/>
  <c r="P93" i="5"/>
  <c r="N93" i="5"/>
  <c r="N92" i="5"/>
  <c r="O92" i="5"/>
  <c r="N144" i="5"/>
  <c r="N82" i="5"/>
  <c r="N402" i="5"/>
  <c r="N309" i="5"/>
  <c r="N195" i="5"/>
  <c r="N146" i="5"/>
  <c r="N373" i="5"/>
  <c r="N212" i="5"/>
  <c r="N141" i="5"/>
  <c r="N455" i="5"/>
  <c r="N321" i="5"/>
  <c r="N451" i="5"/>
  <c r="N297" i="5"/>
  <c r="N415" i="5"/>
  <c r="N287" i="5"/>
  <c r="N442" i="5"/>
  <c r="N302" i="5"/>
  <c r="N194" i="5"/>
  <c r="N128" i="5"/>
  <c r="N98" i="5"/>
  <c r="N453" i="5"/>
  <c r="N443" i="5"/>
  <c r="N318" i="5"/>
  <c r="N314" i="5"/>
  <c r="N450" i="5"/>
  <c r="N276" i="5"/>
  <c r="N293" i="5"/>
  <c r="P95" i="5"/>
  <c r="N124" i="5"/>
  <c r="O124" i="5"/>
  <c r="P92" i="5"/>
  <c r="N338" i="5"/>
  <c r="P338" i="5"/>
  <c r="N366" i="5"/>
  <c r="O366" i="5"/>
  <c r="P366" i="5"/>
  <c r="N153" i="5"/>
  <c r="O153" i="5"/>
  <c r="P153" i="5"/>
  <c r="N105" i="5"/>
  <c r="O105" i="5"/>
  <c r="P105" i="5"/>
  <c r="N422" i="5"/>
  <c r="O422" i="5"/>
  <c r="P422" i="5"/>
  <c r="N178" i="5"/>
  <c r="O178" i="5"/>
  <c r="P178" i="5"/>
  <c r="N126" i="5"/>
  <c r="O126" i="5"/>
  <c r="P89" i="5"/>
  <c r="O292" i="5"/>
  <c r="O290" i="5"/>
  <c r="P413" i="5"/>
  <c r="N410" i="5"/>
  <c r="P243" i="5"/>
  <c r="N282" i="5"/>
  <c r="O279" i="5"/>
  <c r="O274" i="5"/>
  <c r="P440" i="5"/>
  <c r="N133" i="5"/>
  <c r="P193" i="5"/>
  <c r="P126" i="5"/>
  <c r="P121" i="5"/>
  <c r="N89" i="5"/>
  <c r="N88" i="5"/>
  <c r="O88" i="5"/>
  <c r="N130" i="5"/>
  <c r="O130" i="5"/>
  <c r="P130" i="5"/>
  <c r="N162" i="5"/>
  <c r="O162" i="5"/>
  <c r="P162" i="5"/>
  <c r="N109" i="5"/>
  <c r="O109" i="5"/>
  <c r="P109" i="5"/>
  <c r="N426" i="5"/>
  <c r="O426" i="5"/>
  <c r="P426" i="5"/>
  <c r="N343" i="5"/>
  <c r="O343" i="5"/>
  <c r="P343" i="5"/>
  <c r="N260" i="5"/>
  <c r="O260" i="5"/>
  <c r="O70" i="5"/>
  <c r="P70" i="5"/>
  <c r="N341" i="5"/>
  <c r="O341" i="5"/>
  <c r="O68" i="5"/>
  <c r="P68" i="5"/>
  <c r="N63" i="5"/>
  <c r="O63" i="5"/>
  <c r="N51" i="5"/>
  <c r="O51" i="5"/>
  <c r="P51" i="5"/>
  <c r="N43" i="5"/>
  <c r="O43" i="5"/>
  <c r="P43" i="5"/>
  <c r="N35" i="5"/>
  <c r="O35" i="5"/>
  <c r="P35" i="5"/>
  <c r="N27" i="5"/>
  <c r="O27" i="5"/>
  <c r="P27" i="5"/>
  <c r="N19" i="5"/>
  <c r="O19" i="5"/>
  <c r="P19" i="5"/>
  <c r="N11" i="5"/>
  <c r="O11" i="5"/>
  <c r="P11" i="5"/>
  <c r="N3" i="5"/>
  <c r="O3" i="5"/>
  <c r="P3" i="5"/>
  <c r="O120" i="5"/>
  <c r="O112" i="5"/>
  <c r="O365" i="5"/>
  <c r="O156" i="5"/>
  <c r="O152" i="5"/>
  <c r="O107" i="5"/>
  <c r="O104" i="5"/>
  <c r="O425" i="5"/>
  <c r="O329" i="5"/>
  <c r="O113" i="5"/>
  <c r="O177" i="5"/>
  <c r="P299" i="5"/>
  <c r="O298" i="5"/>
  <c r="P182" i="5"/>
  <c r="O181" i="5"/>
  <c r="O1056" i="5" s="1"/>
  <c r="P75" i="5"/>
  <c r="N225" i="5"/>
  <c r="P108" i="5"/>
  <c r="N219" i="5"/>
  <c r="O217" i="5"/>
  <c r="O215" i="5"/>
  <c r="P262" i="5"/>
  <c r="P260" i="5"/>
  <c r="O71" i="5"/>
  <c r="P71" i="5"/>
  <c r="N70" i="5"/>
  <c r="N263" i="5"/>
  <c r="O263" i="5"/>
  <c r="P341" i="5"/>
  <c r="O345" i="5"/>
  <c r="P345" i="5"/>
  <c r="N68" i="5"/>
  <c r="N67" i="5"/>
  <c r="O67" i="5"/>
  <c r="P63" i="5"/>
  <c r="O299" i="5"/>
  <c r="O182" i="5"/>
  <c r="O75" i="5"/>
  <c r="P224" i="5"/>
  <c r="N108" i="5"/>
  <c r="P218" i="5"/>
  <c r="N215" i="5"/>
  <c r="O262" i="5"/>
  <c r="O257" i="5"/>
  <c r="P257" i="5"/>
  <c r="N71" i="5"/>
  <c r="N268" i="5"/>
  <c r="O268" i="5"/>
  <c r="P263" i="5"/>
  <c r="O344" i="5"/>
  <c r="P344" i="5"/>
  <c r="N345" i="5"/>
  <c r="N172" i="5"/>
  <c r="O172" i="5"/>
  <c r="P67" i="5"/>
  <c r="O60" i="5"/>
  <c r="P60" i="5"/>
  <c r="N55" i="5"/>
  <c r="O55" i="5"/>
  <c r="P55" i="5"/>
  <c r="N47" i="5"/>
  <c r="O47" i="5"/>
  <c r="P47" i="5"/>
  <c r="N39" i="5"/>
  <c r="O39" i="5"/>
  <c r="P39" i="5"/>
  <c r="N31" i="5"/>
  <c r="O31" i="5"/>
  <c r="P31" i="5"/>
  <c r="N23" i="5"/>
  <c r="O23" i="5"/>
  <c r="P23" i="5"/>
  <c r="N15" i="5"/>
  <c r="O15" i="5"/>
  <c r="P15" i="5"/>
  <c r="N7" i="5"/>
  <c r="O7" i="5"/>
  <c r="P7" i="5"/>
  <c r="O438" i="5"/>
  <c r="P438" i="5"/>
  <c r="N266" i="5"/>
  <c r="O266" i="5"/>
  <c r="O348" i="5"/>
  <c r="P348" i="5"/>
  <c r="N349" i="5"/>
  <c r="O349"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H34" i="19"/>
  <c r="K34" i="19" s="1"/>
  <c r="G34" i="19"/>
  <c r="J34" i="19" s="1"/>
  <c r="I18" i="19"/>
  <c r="L18" i="19" s="1"/>
  <c r="H18" i="19"/>
  <c r="K18" i="19" s="1"/>
  <c r="G18" i="19"/>
  <c r="J18" i="19" s="1"/>
  <c r="I17" i="19"/>
  <c r="L17" i="19" s="1"/>
  <c r="H17" i="19"/>
  <c r="K17" i="19" s="1"/>
  <c r="G17" i="19"/>
  <c r="J17" i="19" s="1"/>
  <c r="E492" i="16" l="1"/>
  <c r="B483" i="16"/>
  <c r="E477" i="16"/>
  <c r="E476" i="16"/>
  <c r="E475" i="16"/>
  <c r="AO471" i="16"/>
  <c r="AL471" i="16"/>
  <c r="AI471" i="16"/>
  <c r="AF471" i="16"/>
  <c r="AC471" i="16"/>
  <c r="Z471" i="16"/>
  <c r="W471" i="16"/>
  <c r="T471" i="16"/>
  <c r="Q471" i="16"/>
  <c r="N471" i="16"/>
  <c r="K471" i="16"/>
  <c r="H471" i="16"/>
  <c r="AO470" i="16"/>
  <c r="AL470" i="16"/>
  <c r="AI470" i="16"/>
  <c r="AF470" i="16"/>
  <c r="AC470" i="16"/>
  <c r="Z470" i="16"/>
  <c r="W470" i="16"/>
  <c r="T470" i="16"/>
  <c r="Q470" i="16"/>
  <c r="N470" i="16"/>
  <c r="K470" i="16"/>
  <c r="H470" i="16"/>
  <c r="E467" i="16"/>
  <c r="E463" i="16"/>
  <c r="E462" i="16"/>
  <c r="E461" i="16"/>
  <c r="E460" i="16"/>
  <c r="E454" i="16"/>
  <c r="Q464" i="16"/>
  <c r="B401" i="16"/>
  <c r="AO394" i="16"/>
  <c r="AL394" i="16"/>
  <c r="AK394" i="16" s="1"/>
  <c r="AI394" i="16"/>
  <c r="AF394" i="16"/>
  <c r="AE394" i="16" s="1"/>
  <c r="AC394" i="16"/>
  <c r="AB394" i="16" s="1"/>
  <c r="Z394" i="16"/>
  <c r="Y394" i="16" s="1"/>
  <c r="W394" i="16"/>
  <c r="T394" i="16"/>
  <c r="S394" i="16" s="1"/>
  <c r="Q394" i="16"/>
  <c r="N394" i="16"/>
  <c r="M394" i="16" s="1"/>
  <c r="K394" i="16"/>
  <c r="H394" i="16"/>
  <c r="G394" i="16" s="1"/>
  <c r="E393" i="16"/>
  <c r="E392" i="16"/>
  <c r="E391" i="16"/>
  <c r="E390" i="16"/>
  <c r="E389" i="16"/>
  <c r="E388" i="16"/>
  <c r="E387" i="16"/>
  <c r="E386" i="16"/>
  <c r="E385" i="16"/>
  <c r="E384" i="16"/>
  <c r="E383" i="16"/>
  <c r="E382" i="16"/>
  <c r="E381" i="16"/>
  <c r="E380" i="16"/>
  <c r="E379" i="16"/>
  <c r="E378" i="16"/>
  <c r="E377" i="16"/>
  <c r="AO376" i="16"/>
  <c r="AN376" i="16" s="1"/>
  <c r="AL376" i="16"/>
  <c r="AI376" i="16"/>
  <c r="AH376" i="16" s="1"/>
  <c r="AF376" i="16"/>
  <c r="AC376" i="16"/>
  <c r="AB376" i="16" s="1"/>
  <c r="Z376" i="16"/>
  <c r="W376" i="16"/>
  <c r="V376" i="16" s="1"/>
  <c r="T376" i="16"/>
  <c r="S376" i="16" s="1"/>
  <c r="Q376" i="16"/>
  <c r="P376" i="16" s="1"/>
  <c r="N376" i="16"/>
  <c r="K376" i="16"/>
  <c r="J376" i="16" s="1"/>
  <c r="H376" i="16"/>
  <c r="E375" i="16"/>
  <c r="E374" i="16"/>
  <c r="E373" i="16"/>
  <c r="E372" i="16"/>
  <c r="E371" i="16"/>
  <c r="E370" i="16"/>
  <c r="E369" i="16"/>
  <c r="E368" i="16"/>
  <c r="E367" i="16"/>
  <c r="E366" i="16"/>
  <c r="E365" i="16"/>
  <c r="E364" i="16"/>
  <c r="AO361" i="16"/>
  <c r="AM361" i="16"/>
  <c r="AN361" i="16" s="1"/>
  <c r="AL361" i="16"/>
  <c r="AJ361" i="16"/>
  <c r="AI361" i="16"/>
  <c r="AG361" i="16"/>
  <c r="AH361" i="16" s="1"/>
  <c r="AF361" i="16"/>
  <c r="AD361" i="16"/>
  <c r="AE361" i="16" s="1"/>
  <c r="AC361" i="16"/>
  <c r="AA361" i="16"/>
  <c r="AB361" i="16" s="1"/>
  <c r="Z361" i="16"/>
  <c r="X361" i="16"/>
  <c r="Y361" i="16" s="1"/>
  <c r="W361" i="16"/>
  <c r="U361" i="16"/>
  <c r="V361" i="16" s="1"/>
  <c r="T361" i="16"/>
  <c r="R361" i="16"/>
  <c r="Q361" i="16"/>
  <c r="O361" i="16"/>
  <c r="P361" i="16" s="1"/>
  <c r="N361" i="16"/>
  <c r="L361" i="16"/>
  <c r="M361" i="16" s="1"/>
  <c r="K361" i="16"/>
  <c r="I361" i="16"/>
  <c r="J361" i="16" s="1"/>
  <c r="H361" i="16"/>
  <c r="F361" i="16"/>
  <c r="G361" i="16" s="1"/>
  <c r="AN359" i="16"/>
  <c r="AK359" i="16"/>
  <c r="AH359" i="16"/>
  <c r="AE359" i="16"/>
  <c r="AB359" i="16"/>
  <c r="Y359" i="16"/>
  <c r="V359" i="16"/>
  <c r="S359" i="16"/>
  <c r="P359" i="16"/>
  <c r="M359" i="16"/>
  <c r="J359" i="16"/>
  <c r="G359" i="16"/>
  <c r="E359" i="16"/>
  <c r="E361" i="16" s="1"/>
  <c r="C359" i="16"/>
  <c r="E347" i="16"/>
  <c r="E346" i="16"/>
  <c r="E345" i="16"/>
  <c r="E329" i="16"/>
  <c r="E324" i="16"/>
  <c r="E323" i="16"/>
  <c r="E322" i="16"/>
  <c r="E321" i="16"/>
  <c r="AO330" i="16"/>
  <c r="W330" i="16"/>
  <c r="AN312" i="16"/>
  <c r="AK312" i="16"/>
  <c r="AH312" i="16"/>
  <c r="AE312" i="16"/>
  <c r="AB312" i="16"/>
  <c r="Y312" i="16"/>
  <c r="V312" i="16"/>
  <c r="S312" i="16"/>
  <c r="P312" i="16"/>
  <c r="M312" i="16"/>
  <c r="J312" i="16"/>
  <c r="G312" i="16"/>
  <c r="D312" i="16"/>
  <c r="AN303" i="16"/>
  <c r="AK303" i="16"/>
  <c r="AH303" i="16"/>
  <c r="AE303" i="16"/>
  <c r="AB303" i="16"/>
  <c r="Y303" i="16"/>
  <c r="V303" i="16"/>
  <c r="S303" i="16"/>
  <c r="P303" i="16"/>
  <c r="M303" i="16"/>
  <c r="J303" i="16"/>
  <c r="G303" i="16"/>
  <c r="C303" i="16"/>
  <c r="D303" i="16" s="1"/>
  <c r="AN302" i="16"/>
  <c r="AK302" i="16"/>
  <c r="AH302" i="16"/>
  <c r="AE302" i="16"/>
  <c r="AB302" i="16"/>
  <c r="Y302" i="16"/>
  <c r="V302" i="16"/>
  <c r="S302" i="16"/>
  <c r="P302" i="16"/>
  <c r="M302" i="16"/>
  <c r="J302" i="16"/>
  <c r="G302" i="16"/>
  <c r="C302" i="16"/>
  <c r="D302" i="16" s="1"/>
  <c r="AN301" i="16"/>
  <c r="AK301" i="16"/>
  <c r="AH301" i="16"/>
  <c r="AE301" i="16"/>
  <c r="AB301" i="16"/>
  <c r="Y301" i="16"/>
  <c r="V301" i="16"/>
  <c r="S301" i="16"/>
  <c r="P301" i="16"/>
  <c r="M301" i="16"/>
  <c r="J301" i="16"/>
  <c r="G301" i="16"/>
  <c r="E301" i="16"/>
  <c r="C301" i="16"/>
  <c r="D301" i="16" s="1"/>
  <c r="B291" i="16"/>
  <c r="B355" i="16" s="1"/>
  <c r="E284" i="16"/>
  <c r="E283" i="16"/>
  <c r="E282" i="16"/>
  <c r="E266" i="16"/>
  <c r="E261" i="16"/>
  <c r="E260" i="16"/>
  <c r="E259" i="16"/>
  <c r="AO249" i="16"/>
  <c r="AL249" i="16"/>
  <c r="AI249" i="16"/>
  <c r="AF249" i="16"/>
  <c r="AC249" i="16"/>
  <c r="Z249" i="16"/>
  <c r="W249" i="16"/>
  <c r="T249" i="16"/>
  <c r="Q249" i="16"/>
  <c r="N249" i="16"/>
  <c r="K249" i="16"/>
  <c r="H249" i="16"/>
  <c r="E248" i="16"/>
  <c r="D248" i="16"/>
  <c r="C248" i="16"/>
  <c r="AO246" i="16"/>
  <c r="AL246" i="16"/>
  <c r="AI246" i="16"/>
  <c r="AF246" i="16"/>
  <c r="AC246" i="16"/>
  <c r="Z246" i="16"/>
  <c r="W246" i="16"/>
  <c r="T246" i="16"/>
  <c r="Q246" i="16"/>
  <c r="N246" i="16"/>
  <c r="K246" i="16"/>
  <c r="H246" i="16"/>
  <c r="E245" i="16"/>
  <c r="D245" i="16"/>
  <c r="C245" i="16"/>
  <c r="AO251" i="16"/>
  <c r="AN251" i="16"/>
  <c r="AK251" i="16"/>
  <c r="AI251" i="16"/>
  <c r="AH251" i="16"/>
  <c r="AE251" i="16"/>
  <c r="AC251" i="16"/>
  <c r="AB251" i="16"/>
  <c r="Y251" i="16"/>
  <c r="W251" i="16"/>
  <c r="V251" i="16"/>
  <c r="S251" i="16"/>
  <c r="Q251" i="16"/>
  <c r="P251" i="16"/>
  <c r="M251" i="16"/>
  <c r="K251" i="16"/>
  <c r="J251" i="16"/>
  <c r="G251" i="16"/>
  <c r="C242" i="16"/>
  <c r="B237" i="16"/>
  <c r="E229" i="16"/>
  <c r="E228" i="16"/>
  <c r="E227" i="16"/>
  <c r="AI230" i="16"/>
  <c r="K230" i="16"/>
  <c r="E211" i="16"/>
  <c r="E206" i="16"/>
  <c r="E205" i="16"/>
  <c r="E204" i="16"/>
  <c r="AO194" i="16"/>
  <c r="AL194" i="16"/>
  <c r="AI194" i="16"/>
  <c r="AF194" i="16"/>
  <c r="AC194" i="16"/>
  <c r="Z194" i="16"/>
  <c r="W194" i="16"/>
  <c r="T194" i="16"/>
  <c r="Q194" i="16"/>
  <c r="N194" i="16"/>
  <c r="K194" i="16"/>
  <c r="H194" i="16"/>
  <c r="E193" i="16"/>
  <c r="E194" i="16" s="1"/>
  <c r="D193" i="16"/>
  <c r="C193" i="16"/>
  <c r="AN184" i="16"/>
  <c r="AK184" i="16"/>
  <c r="AH184" i="16"/>
  <c r="AE184" i="16"/>
  <c r="AB184" i="16"/>
  <c r="Y184" i="16"/>
  <c r="V184" i="16"/>
  <c r="S184" i="16"/>
  <c r="P184" i="16"/>
  <c r="M184" i="16"/>
  <c r="J184" i="16"/>
  <c r="G184" i="16"/>
  <c r="D184" i="16"/>
  <c r="N184" i="16"/>
  <c r="B170" i="16"/>
  <c r="E163" i="16"/>
  <c r="E162" i="16"/>
  <c r="E161" i="16"/>
  <c r="AO474" i="16"/>
  <c r="AL474" i="16"/>
  <c r="AI474" i="16"/>
  <c r="AF474" i="16"/>
  <c r="AC474" i="16"/>
  <c r="Z474" i="16"/>
  <c r="W474" i="16"/>
  <c r="T474" i="16"/>
  <c r="Q474" i="16"/>
  <c r="N474" i="16"/>
  <c r="H474" i="16"/>
  <c r="AO473" i="16"/>
  <c r="AL473" i="16"/>
  <c r="AI473" i="16"/>
  <c r="AF473" i="16"/>
  <c r="AC473" i="16"/>
  <c r="Z473" i="16"/>
  <c r="W473" i="16"/>
  <c r="T473" i="16"/>
  <c r="Q473" i="16"/>
  <c r="N473" i="16"/>
  <c r="K473" i="16"/>
  <c r="H473" i="16"/>
  <c r="AL472" i="16"/>
  <c r="AI472" i="16"/>
  <c r="AF472" i="16"/>
  <c r="Z472" i="16"/>
  <c r="W472" i="16"/>
  <c r="N472" i="16"/>
  <c r="K472" i="16"/>
  <c r="E154" i="16"/>
  <c r="E153" i="16"/>
  <c r="E152" i="16"/>
  <c r="E136" i="16"/>
  <c r="E131" i="16"/>
  <c r="E130" i="16"/>
  <c r="E129" i="16"/>
  <c r="E128" i="16"/>
  <c r="AC137" i="16"/>
  <c r="E123" i="16"/>
  <c r="E122" i="16"/>
  <c r="E121" i="16"/>
  <c r="AF107" i="16"/>
  <c r="N107" i="16"/>
  <c r="AD99" i="16"/>
  <c r="X99" i="16"/>
  <c r="T99" i="16"/>
  <c r="L99" i="16"/>
  <c r="I99" i="16"/>
  <c r="J121" i="16" s="1"/>
  <c r="B92" i="16"/>
  <c r="E84" i="16"/>
  <c r="E83" i="16"/>
  <c r="E82" i="16"/>
  <c r="AO468" i="16"/>
  <c r="AL468" i="16"/>
  <c r="AI468" i="16"/>
  <c r="AF468" i="16"/>
  <c r="AC468" i="16"/>
  <c r="Z468" i="16"/>
  <c r="W468" i="16"/>
  <c r="T468" i="16"/>
  <c r="Q468" i="16"/>
  <c r="N468" i="16"/>
  <c r="K468" i="16"/>
  <c r="H468" i="16"/>
  <c r="E80" i="16"/>
  <c r="E79" i="16"/>
  <c r="AO469" i="16"/>
  <c r="AL469" i="16"/>
  <c r="AI469" i="16"/>
  <c r="AF469" i="16"/>
  <c r="AC469" i="16"/>
  <c r="Z469" i="16"/>
  <c r="W469" i="16"/>
  <c r="T469" i="16"/>
  <c r="Q469" i="16"/>
  <c r="N469" i="16"/>
  <c r="K469" i="16"/>
  <c r="H469" i="16"/>
  <c r="E74" i="16"/>
  <c r="E73" i="16"/>
  <c r="E72" i="16"/>
  <c r="E56" i="16"/>
  <c r="E51" i="16"/>
  <c r="E50" i="16"/>
  <c r="E49" i="16"/>
  <c r="E48"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AO27" i="16"/>
  <c r="AM35" i="16" s="1"/>
  <c r="AI27" i="16"/>
  <c r="T27" i="16"/>
  <c r="R35" i="16" s="1"/>
  <c r="Q27" i="16"/>
  <c r="O35" i="16" s="1"/>
  <c r="K27" i="16"/>
  <c r="G20" i="16"/>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G12" i="16"/>
  <c r="E12" i="16"/>
  <c r="C12" i="16"/>
  <c r="D12" i="16" s="1"/>
  <c r="AN11" i="16"/>
  <c r="AK11" i="16"/>
  <c r="AH11" i="16"/>
  <c r="AE11" i="16"/>
  <c r="AB11" i="16"/>
  <c r="Y11" i="16"/>
  <c r="V11" i="16"/>
  <c r="S11" i="16"/>
  <c r="P11" i="16"/>
  <c r="M11" i="16"/>
  <c r="J11" i="16"/>
  <c r="G11" i="16"/>
  <c r="E11" i="16"/>
  <c r="C11" i="16"/>
  <c r="D11" i="16" s="1"/>
  <c r="U16" i="16"/>
  <c r="T16" i="16"/>
  <c r="L16" i="16"/>
  <c r="Q107" i="16" l="1"/>
  <c r="AO107" i="16"/>
  <c r="AC124" i="16"/>
  <c r="H137" i="16"/>
  <c r="AF137" i="16"/>
  <c r="AC330" i="16"/>
  <c r="W107" i="16"/>
  <c r="K330" i="16"/>
  <c r="AI330" i="16"/>
  <c r="Q330" i="16"/>
  <c r="AI478" i="16"/>
  <c r="K478" i="16"/>
  <c r="Y104" i="16"/>
  <c r="H478" i="16"/>
  <c r="Y296" i="16"/>
  <c r="G297" i="16"/>
  <c r="Y297" i="16"/>
  <c r="G299" i="16"/>
  <c r="Q396" i="16"/>
  <c r="P396" i="16" s="1"/>
  <c r="E249" i="16"/>
  <c r="AC396" i="16"/>
  <c r="AB396" i="16" s="1"/>
  <c r="E246" i="16"/>
  <c r="W396" i="16"/>
  <c r="V396" i="16" s="1"/>
  <c r="S299" i="16"/>
  <c r="T478" i="16"/>
  <c r="AF478" i="16"/>
  <c r="V10" i="16"/>
  <c r="P98" i="16"/>
  <c r="E22" i="16"/>
  <c r="S98" i="16"/>
  <c r="Y102" i="16"/>
  <c r="P296" i="16"/>
  <c r="AB296" i="16"/>
  <c r="AN296" i="16"/>
  <c r="AH298" i="16"/>
  <c r="Q175" i="16"/>
  <c r="Y299" i="16"/>
  <c r="S307" i="16"/>
  <c r="AK307" i="16"/>
  <c r="AC408" i="16"/>
  <c r="AO409" i="16"/>
  <c r="AC412" i="16"/>
  <c r="Q409" i="16"/>
  <c r="AC410" i="16"/>
  <c r="Q411" i="16"/>
  <c r="Q413" i="16"/>
  <c r="G179" i="16"/>
  <c r="K178" i="16"/>
  <c r="S179" i="16"/>
  <c r="W178" i="16"/>
  <c r="AE179" i="16"/>
  <c r="AI178" i="16"/>
  <c r="AI181" i="16"/>
  <c r="N191" i="16"/>
  <c r="AL191" i="16"/>
  <c r="Y298" i="16"/>
  <c r="AC16" i="16"/>
  <c r="AI16" i="16"/>
  <c r="P10" i="16"/>
  <c r="AB10" i="16"/>
  <c r="AH10" i="16"/>
  <c r="G18" i="16"/>
  <c r="Y18" i="16"/>
  <c r="AK18" i="16"/>
  <c r="Y20" i="16"/>
  <c r="AE20" i="16"/>
  <c r="AO411" i="16"/>
  <c r="G9" i="16"/>
  <c r="S9" i="16"/>
  <c r="X16" i="16"/>
  <c r="X30" i="16" s="1"/>
  <c r="AE9" i="16"/>
  <c r="AJ16" i="16"/>
  <c r="AJ30" i="16" s="1"/>
  <c r="M10" i="16"/>
  <c r="AI99" i="16"/>
  <c r="AO99" i="16"/>
  <c r="V98" i="16"/>
  <c r="AH98" i="16"/>
  <c r="AN98" i="16"/>
  <c r="V102" i="16"/>
  <c r="AB102" i="16"/>
  <c r="AH102" i="16"/>
  <c r="AH179" i="16"/>
  <c r="AC191" i="16"/>
  <c r="P300" i="16"/>
  <c r="AK308" i="16"/>
  <c r="H464" i="16"/>
  <c r="Y97" i="16"/>
  <c r="AE106" i="16"/>
  <c r="E114" i="16"/>
  <c r="P182" i="16"/>
  <c r="AF181" i="16"/>
  <c r="AN182" i="16"/>
  <c r="H184" i="16"/>
  <c r="P185" i="16"/>
  <c r="T184" i="16"/>
  <c r="Y185" i="16"/>
  <c r="AB185" i="16"/>
  <c r="AF184" i="16"/>
  <c r="AN185" i="16"/>
  <c r="AK297" i="16"/>
  <c r="AH299" i="16"/>
  <c r="V300" i="16"/>
  <c r="AB300" i="16"/>
  <c r="AN300" i="16"/>
  <c r="AC464" i="16"/>
  <c r="N478" i="16"/>
  <c r="Z478" i="16"/>
  <c r="AL478" i="16"/>
  <c r="E9" i="16"/>
  <c r="J102" i="16"/>
  <c r="AN102" i="16"/>
  <c r="AO304" i="16"/>
  <c r="L30" i="16"/>
  <c r="J20" i="16"/>
  <c r="P20" i="16"/>
  <c r="V20" i="16"/>
  <c r="AB20" i="16"/>
  <c r="AN20" i="16"/>
  <c r="AF438" i="16"/>
  <c r="T439" i="16"/>
  <c r="H440" i="16"/>
  <c r="AF440" i="16"/>
  <c r="T441" i="16"/>
  <c r="H442" i="16"/>
  <c r="AF442" i="16"/>
  <c r="T443" i="16"/>
  <c r="H444" i="16"/>
  <c r="AF444" i="16"/>
  <c r="T445" i="16"/>
  <c r="H446" i="16"/>
  <c r="AF446" i="16"/>
  <c r="W99" i="16"/>
  <c r="W110" i="16" s="1"/>
  <c r="AM99" i="16"/>
  <c r="G182" i="16"/>
  <c r="V185" i="16"/>
  <c r="AL184" i="16"/>
  <c r="F304" i="16"/>
  <c r="S295" i="16"/>
  <c r="AH296" i="16"/>
  <c r="P297" i="16"/>
  <c r="AH297" i="16"/>
  <c r="P298" i="16"/>
  <c r="AB307" i="16"/>
  <c r="J308" i="16"/>
  <c r="V308" i="16"/>
  <c r="AB308" i="16"/>
  <c r="E453" i="16"/>
  <c r="Z429" i="16"/>
  <c r="AI434" i="16"/>
  <c r="E18" i="16"/>
  <c r="E25" i="16"/>
  <c r="Z409" i="16"/>
  <c r="Z411" i="16"/>
  <c r="Z413" i="16"/>
  <c r="Z420" i="16"/>
  <c r="Z422" i="16"/>
  <c r="AL428" i="16"/>
  <c r="N430" i="16"/>
  <c r="AL430" i="16"/>
  <c r="W433" i="16"/>
  <c r="K434" i="16"/>
  <c r="W435" i="16"/>
  <c r="K436" i="16"/>
  <c r="AI436" i="16"/>
  <c r="W437" i="16"/>
  <c r="E275" i="16"/>
  <c r="E279" i="16"/>
  <c r="AM16" i="16"/>
  <c r="AM27" i="16" s="1"/>
  <c r="AC27" i="16"/>
  <c r="AA35" i="16" s="1"/>
  <c r="Q408" i="16"/>
  <c r="AO408" i="16"/>
  <c r="AC409" i="16"/>
  <c r="Q410" i="16"/>
  <c r="AO410" i="16"/>
  <c r="AC411" i="16"/>
  <c r="Q412" i="16"/>
  <c r="AO412" i="16"/>
  <c r="AC413" i="16"/>
  <c r="Q414" i="16"/>
  <c r="AO414" i="16"/>
  <c r="N438" i="16"/>
  <c r="AL438" i="16"/>
  <c r="Z439" i="16"/>
  <c r="N440" i="16"/>
  <c r="AL440" i="16"/>
  <c r="Z441" i="16"/>
  <c r="N442" i="16"/>
  <c r="AL442" i="16"/>
  <c r="Z443" i="16"/>
  <c r="N444" i="16"/>
  <c r="AL444" i="16"/>
  <c r="Z445" i="16"/>
  <c r="N446" i="16"/>
  <c r="AL446" i="16"/>
  <c r="AJ99" i="16"/>
  <c r="AK117" i="16" s="1"/>
  <c r="AK97" i="16"/>
  <c r="K107" i="16"/>
  <c r="AI107" i="16"/>
  <c r="W124" i="16"/>
  <c r="E133" i="16"/>
  <c r="E143" i="16"/>
  <c r="E151" i="16"/>
  <c r="M307" i="16"/>
  <c r="E328" i="16"/>
  <c r="AL408" i="16"/>
  <c r="AL410" i="16"/>
  <c r="AL412" i="16"/>
  <c r="N414" i="16"/>
  <c r="M414" i="16" s="1"/>
  <c r="N421" i="16"/>
  <c r="N428" i="16"/>
  <c r="H27" i="16"/>
  <c r="F35" i="16" s="1"/>
  <c r="AF27" i="16"/>
  <c r="AD35" i="16" s="1"/>
  <c r="T410" i="16"/>
  <c r="H420" i="16"/>
  <c r="T421" i="16"/>
  <c r="H427" i="16"/>
  <c r="T428" i="16"/>
  <c r="AF429" i="16"/>
  <c r="Q434" i="16"/>
  <c r="AC435" i="16"/>
  <c r="AC437" i="16"/>
  <c r="E340" i="16"/>
  <c r="E344" i="16"/>
  <c r="K409" i="16"/>
  <c r="AI409" i="16"/>
  <c r="W410" i="16"/>
  <c r="K411" i="16"/>
  <c r="AI411" i="16"/>
  <c r="W412" i="16"/>
  <c r="K413" i="16"/>
  <c r="AI413" i="16"/>
  <c r="W414" i="16"/>
  <c r="T438" i="16"/>
  <c r="H439" i="16"/>
  <c r="AF439" i="16"/>
  <c r="T440" i="16"/>
  <c r="H441" i="16"/>
  <c r="AF441" i="16"/>
  <c r="T442" i="16"/>
  <c r="H443" i="16"/>
  <c r="AF443" i="16"/>
  <c r="T444" i="16"/>
  <c r="H445" i="16"/>
  <c r="AF445" i="16"/>
  <c r="T446" i="16"/>
  <c r="E132" i="16"/>
  <c r="E209" i="16"/>
  <c r="E264" i="16"/>
  <c r="Z330" i="16"/>
  <c r="E332" i="16"/>
  <c r="M9" i="16"/>
  <c r="H438" i="16"/>
  <c r="E63" i="16"/>
  <c r="N408" i="16"/>
  <c r="N410" i="16"/>
  <c r="N412" i="16"/>
  <c r="M412" i="16" s="1"/>
  <c r="AL414" i="16"/>
  <c r="AL421" i="16"/>
  <c r="Z427" i="16"/>
  <c r="T408" i="16"/>
  <c r="H411" i="16"/>
  <c r="AF420" i="16"/>
  <c r="H422" i="16"/>
  <c r="AF422" i="16"/>
  <c r="AF427" i="16"/>
  <c r="H429" i="16"/>
  <c r="T430" i="16"/>
  <c r="AC433" i="16"/>
  <c r="AO434" i="16"/>
  <c r="Q436" i="16"/>
  <c r="AO436" i="16"/>
  <c r="R16" i="16"/>
  <c r="AN10" i="16"/>
  <c r="W408" i="16"/>
  <c r="C9" i="16"/>
  <c r="T30" i="16"/>
  <c r="E10" i="16"/>
  <c r="N420" i="16"/>
  <c r="AL420" i="16"/>
  <c r="Z421" i="16"/>
  <c r="N422" i="16"/>
  <c r="AL422" i="16"/>
  <c r="N427" i="16"/>
  <c r="AL427" i="16"/>
  <c r="Z428" i="16"/>
  <c r="N429" i="16"/>
  <c r="AL429" i="16"/>
  <c r="Z430" i="16"/>
  <c r="K433" i="16"/>
  <c r="AI433" i="16"/>
  <c r="W434" i="16"/>
  <c r="K435" i="16"/>
  <c r="AI435" i="16"/>
  <c r="W436" i="16"/>
  <c r="K437" i="16"/>
  <c r="AI437" i="16"/>
  <c r="AB98" i="16"/>
  <c r="E201" i="16"/>
  <c r="J298" i="16"/>
  <c r="AO413" i="16"/>
  <c r="AC414" i="16"/>
  <c r="H99" i="16"/>
  <c r="G97" i="16"/>
  <c r="E302" i="16"/>
  <c r="AF464" i="16"/>
  <c r="K16" i="16"/>
  <c r="AG16" i="16"/>
  <c r="AG30" i="16" s="1"/>
  <c r="J10" i="16"/>
  <c r="AF16" i="16"/>
  <c r="S18" i="16"/>
  <c r="AE18" i="16"/>
  <c r="S20" i="16"/>
  <c r="Z408" i="16"/>
  <c r="Y408" i="16" s="1"/>
  <c r="N409" i="16"/>
  <c r="AL409" i="16"/>
  <c r="AK409" i="16" s="1"/>
  <c r="Z410" i="16"/>
  <c r="N411" i="16"/>
  <c r="M411" i="16" s="1"/>
  <c r="AL411" i="16"/>
  <c r="Z412" i="16"/>
  <c r="N413" i="16"/>
  <c r="AL413" i="16"/>
  <c r="Z414" i="16"/>
  <c r="K420" i="16"/>
  <c r="AI420" i="16"/>
  <c r="W421" i="16"/>
  <c r="K422" i="16"/>
  <c r="AI422" i="16"/>
  <c r="K427" i="16"/>
  <c r="AI427" i="16"/>
  <c r="W428" i="16"/>
  <c r="K429" i="16"/>
  <c r="AI429" i="16"/>
  <c r="W430" i="16"/>
  <c r="H433" i="16"/>
  <c r="AF433" i="16"/>
  <c r="T434" i="16"/>
  <c r="H435" i="16"/>
  <c r="AF435" i="16"/>
  <c r="T436" i="16"/>
  <c r="H437" i="16"/>
  <c r="AF437" i="16"/>
  <c r="Q438" i="16"/>
  <c r="AO438" i="16"/>
  <c r="AC439" i="16"/>
  <c r="Q440" i="16"/>
  <c r="AO440" i="16"/>
  <c r="AC441" i="16"/>
  <c r="Q442" i="16"/>
  <c r="AO442" i="16"/>
  <c r="AC443" i="16"/>
  <c r="Q444" i="16"/>
  <c r="AO444" i="16"/>
  <c r="AC445" i="16"/>
  <c r="Q446" i="16"/>
  <c r="AO446" i="16"/>
  <c r="AC478" i="16"/>
  <c r="AI110" i="16"/>
  <c r="J98" i="16"/>
  <c r="AE98" i="16"/>
  <c r="P102" i="16"/>
  <c r="AK102" i="16"/>
  <c r="T107" i="16"/>
  <c r="T110" i="16" s="1"/>
  <c r="E105" i="16"/>
  <c r="E116" i="16"/>
  <c r="E142" i="16"/>
  <c r="G187" i="16"/>
  <c r="G196" i="16" s="1"/>
  <c r="O187" i="16"/>
  <c r="W187" i="16"/>
  <c r="AE187" i="16"/>
  <c r="AE196" i="16" s="1"/>
  <c r="AM187" i="16"/>
  <c r="T181" i="16"/>
  <c r="AB182" i="16"/>
  <c r="Z191" i="16"/>
  <c r="AF212" i="16"/>
  <c r="Q212" i="16"/>
  <c r="AO212" i="16"/>
  <c r="E208" i="16"/>
  <c r="AE295" i="16"/>
  <c r="J299" i="16"/>
  <c r="AE300" i="16"/>
  <c r="E336" i="16"/>
  <c r="AO396" i="16"/>
  <c r="AN396" i="16" s="1"/>
  <c r="H412" i="16"/>
  <c r="AF412" i="16"/>
  <c r="T413" i="16"/>
  <c r="H414" i="16"/>
  <c r="AF414" i="16"/>
  <c r="Q420" i="16"/>
  <c r="AO420" i="16"/>
  <c r="AC421" i="16"/>
  <c r="Q422" i="16"/>
  <c r="AO422" i="16"/>
  <c r="Q427" i="16"/>
  <c r="AO427" i="16"/>
  <c r="AC428" i="16"/>
  <c r="Q429" i="16"/>
  <c r="AO429" i="16"/>
  <c r="AC430" i="16"/>
  <c r="N433" i="16"/>
  <c r="AL433" i="16"/>
  <c r="Z434" i="16"/>
  <c r="N435" i="16"/>
  <c r="AL435" i="16"/>
  <c r="Z436" i="16"/>
  <c r="N437" i="16"/>
  <c r="AL437" i="16"/>
  <c r="W438" i="16"/>
  <c r="K439" i="16"/>
  <c r="AI439" i="16"/>
  <c r="W440" i="16"/>
  <c r="K441" i="16"/>
  <c r="AI441" i="16"/>
  <c r="W442" i="16"/>
  <c r="K443" i="16"/>
  <c r="AI443" i="16"/>
  <c r="W444" i="16"/>
  <c r="K445" i="16"/>
  <c r="AI445" i="16"/>
  <c r="W446" i="16"/>
  <c r="AF479" i="16"/>
  <c r="C97" i="16"/>
  <c r="O99" i="16"/>
  <c r="P106" i="16" s="1"/>
  <c r="Z99" i="16"/>
  <c r="Y99" i="16" s="1"/>
  <c r="E102" i="16"/>
  <c r="Z107" i="16"/>
  <c r="Q137" i="16"/>
  <c r="AO137" i="16"/>
  <c r="E148" i="16"/>
  <c r="Y176" i="16"/>
  <c r="AO175" i="16"/>
  <c r="N181" i="16"/>
  <c r="V182" i="16"/>
  <c r="AL181" i="16"/>
  <c r="T191" i="16"/>
  <c r="N212" i="16"/>
  <c r="AL212" i="16"/>
  <c r="E216" i="16"/>
  <c r="E218" i="16"/>
  <c r="E224" i="16"/>
  <c r="E256" i="16"/>
  <c r="E258" i="16"/>
  <c r="E274" i="16"/>
  <c r="U304" i="16"/>
  <c r="U309" i="16" s="1"/>
  <c r="AE296" i="16"/>
  <c r="AN297" i="16"/>
  <c r="E303" i="16"/>
  <c r="E471" i="16"/>
  <c r="H408" i="16"/>
  <c r="AF408" i="16"/>
  <c r="H410" i="16"/>
  <c r="AF410" i="16"/>
  <c r="T411" i="16"/>
  <c r="O16" i="16"/>
  <c r="P25" i="16" s="1"/>
  <c r="AK9" i="16"/>
  <c r="AK10" i="16"/>
  <c r="M18" i="16"/>
  <c r="AH20" i="16"/>
  <c r="W27" i="16"/>
  <c r="K408" i="16"/>
  <c r="AI408" i="16"/>
  <c r="W409" i="16"/>
  <c r="K410" i="16"/>
  <c r="AI410" i="16"/>
  <c r="W411" i="16"/>
  <c r="K412" i="16"/>
  <c r="AI412" i="16"/>
  <c r="W413" i="16"/>
  <c r="K414" i="16"/>
  <c r="AI414" i="16"/>
  <c r="T420" i="16"/>
  <c r="H421" i="16"/>
  <c r="AF421" i="16"/>
  <c r="T422" i="16"/>
  <c r="T427" i="16"/>
  <c r="H428" i="16"/>
  <c r="AF428" i="16"/>
  <c r="T429" i="16"/>
  <c r="H430" i="16"/>
  <c r="AF430" i="16"/>
  <c r="Q433" i="16"/>
  <c r="AO433" i="16"/>
  <c r="AC434" i="16"/>
  <c r="Q435" i="16"/>
  <c r="AO435" i="16"/>
  <c r="AC436" i="16"/>
  <c r="Q437" i="16"/>
  <c r="AO437" i="16"/>
  <c r="Z438" i="16"/>
  <c r="N439" i="16"/>
  <c r="AL439" i="16"/>
  <c r="Z440" i="16"/>
  <c r="N441" i="16"/>
  <c r="AL441" i="16"/>
  <c r="Z442" i="16"/>
  <c r="N443" i="16"/>
  <c r="AL443" i="16"/>
  <c r="Z444" i="16"/>
  <c r="N445" i="16"/>
  <c r="AL445" i="16"/>
  <c r="Z446" i="16"/>
  <c r="F99" i="16"/>
  <c r="G104" i="16" s="1"/>
  <c r="Q99" i="16"/>
  <c r="AC107" i="16"/>
  <c r="Q124" i="16"/>
  <c r="AO124" i="16"/>
  <c r="V179" i="16"/>
  <c r="W181" i="16"/>
  <c r="AE182" i="16"/>
  <c r="J185" i="16"/>
  <c r="Z184" i="16"/>
  <c r="AH185" i="16"/>
  <c r="W230" i="16"/>
  <c r="E220" i="16"/>
  <c r="J296" i="16"/>
  <c r="AE297" i="16"/>
  <c r="AN298" i="16"/>
  <c r="Y300" i="16"/>
  <c r="E325" i="16"/>
  <c r="E327" i="16"/>
  <c r="T464" i="16"/>
  <c r="E452" i="16"/>
  <c r="AO464" i="16"/>
  <c r="E491" i="16"/>
  <c r="W420" i="16"/>
  <c r="K421" i="16"/>
  <c r="AI421" i="16"/>
  <c r="W422" i="16"/>
  <c r="W427" i="16"/>
  <c r="K428" i="16"/>
  <c r="AI428" i="16"/>
  <c r="W429" i="16"/>
  <c r="K430" i="16"/>
  <c r="AI430" i="16"/>
  <c r="T433" i="16"/>
  <c r="H434" i="16"/>
  <c r="AF434" i="16"/>
  <c r="T435" i="16"/>
  <c r="H436" i="16"/>
  <c r="AF436" i="16"/>
  <c r="T437" i="16"/>
  <c r="AC438" i="16"/>
  <c r="Q439" i="16"/>
  <c r="AO439" i="16"/>
  <c r="AC440" i="16"/>
  <c r="Q441" i="16"/>
  <c r="AO441" i="16"/>
  <c r="AC442" i="16"/>
  <c r="Q443" i="16"/>
  <c r="AO443" i="16"/>
  <c r="AC444" i="16"/>
  <c r="Q445" i="16"/>
  <c r="AO445" i="16"/>
  <c r="AC446" i="16"/>
  <c r="Q478" i="16"/>
  <c r="AO478" i="16"/>
  <c r="S97" i="16"/>
  <c r="AC99" i="16"/>
  <c r="E104" i="16"/>
  <c r="E139" i="16"/>
  <c r="K187" i="16"/>
  <c r="S187" i="16"/>
  <c r="S196" i="16" s="1"/>
  <c r="AA187" i="16"/>
  <c r="AI187" i="16"/>
  <c r="AI196" i="16" s="1"/>
  <c r="T212" i="16"/>
  <c r="AC212" i="16"/>
  <c r="X304" i="16"/>
  <c r="X309" i="16" s="1"/>
  <c r="S298" i="16"/>
  <c r="AB299" i="16"/>
  <c r="V307" i="16"/>
  <c r="AE308" i="16"/>
  <c r="E339" i="16"/>
  <c r="AF411" i="16"/>
  <c r="T412" i="16"/>
  <c r="H413" i="16"/>
  <c r="AF413" i="16"/>
  <c r="T414" i="16"/>
  <c r="AC420" i="16"/>
  <c r="Q421" i="16"/>
  <c r="AO421" i="16"/>
  <c r="AC422" i="16"/>
  <c r="AC427" i="16"/>
  <c r="Q428" i="16"/>
  <c r="AO428" i="16"/>
  <c r="AC429" i="16"/>
  <c r="Q430" i="16"/>
  <c r="AO430" i="16"/>
  <c r="Z433" i="16"/>
  <c r="N434" i="16"/>
  <c r="AL434" i="16"/>
  <c r="Z435" i="16"/>
  <c r="N436" i="16"/>
  <c r="AL436" i="16"/>
  <c r="Z437" i="16"/>
  <c r="K438" i="16"/>
  <c r="AI438" i="16"/>
  <c r="W439" i="16"/>
  <c r="K440" i="16"/>
  <c r="AI440" i="16"/>
  <c r="W441" i="16"/>
  <c r="K442" i="16"/>
  <c r="AI442" i="16"/>
  <c r="W443" i="16"/>
  <c r="K444" i="16"/>
  <c r="AI444" i="16"/>
  <c r="W445" i="16"/>
  <c r="K446" i="16"/>
  <c r="AI446" i="16"/>
  <c r="W478" i="16"/>
  <c r="W479" i="16" s="1"/>
  <c r="E96" i="16"/>
  <c r="AF99" i="16"/>
  <c r="AF110" i="16" s="1"/>
  <c r="AE137" i="16" s="1"/>
  <c r="M102" i="16"/>
  <c r="V176" i="16"/>
  <c r="AC175" i="16"/>
  <c r="AL175" i="16"/>
  <c r="S182" i="16"/>
  <c r="Z181" i="16"/>
  <c r="AH182" i="16"/>
  <c r="Q191" i="16"/>
  <c r="Z212" i="16"/>
  <c r="E217" i="16"/>
  <c r="E219" i="16"/>
  <c r="K252" i="16"/>
  <c r="AI252" i="16"/>
  <c r="E257" i="16"/>
  <c r="E271" i="16"/>
  <c r="E273" i="16"/>
  <c r="Q304" i="16"/>
  <c r="Q309" i="16" s="1"/>
  <c r="Q314" i="16" s="1"/>
  <c r="P330" i="16" s="1"/>
  <c r="M297" i="16"/>
  <c r="V298" i="16"/>
  <c r="E299" i="16"/>
  <c r="AE299" i="16"/>
  <c r="Y307" i="16"/>
  <c r="AH308" i="16"/>
  <c r="W398" i="16"/>
  <c r="E457" i="16"/>
  <c r="E459" i="16"/>
  <c r="Y9" i="16"/>
  <c r="N16" i="16"/>
  <c r="M16" i="16" s="1"/>
  <c r="Q16" i="16"/>
  <c r="O34" i="16" s="1"/>
  <c r="AO16" i="16"/>
  <c r="AM34" i="16" s="1"/>
  <c r="Y10" i="16"/>
  <c r="E26" i="16"/>
  <c r="E36" i="16"/>
  <c r="E52" i="16"/>
  <c r="E67" i="16"/>
  <c r="E106" i="16"/>
  <c r="E135" i="16"/>
  <c r="E147" i="16"/>
  <c r="E149" i="16"/>
  <c r="E150" i="16"/>
  <c r="E159" i="16"/>
  <c r="AK176" i="16"/>
  <c r="J182" i="16"/>
  <c r="D180" i="16"/>
  <c r="K181" i="16"/>
  <c r="AL16" i="16"/>
  <c r="H16" i="16"/>
  <c r="H30" i="16" s="1"/>
  <c r="W16" i="16"/>
  <c r="V16" i="16" s="1"/>
  <c r="AA16" i="16"/>
  <c r="AA27" i="16" s="1"/>
  <c r="F16" i="16"/>
  <c r="G25" i="16" s="1"/>
  <c r="Z16" i="16"/>
  <c r="X34" i="16" s="1"/>
  <c r="AD16" i="16"/>
  <c r="AE24" i="16" s="1"/>
  <c r="C18" i="16"/>
  <c r="D18" i="16" s="1"/>
  <c r="E20" i="16"/>
  <c r="M20" i="16"/>
  <c r="AK20" i="16"/>
  <c r="N27" i="16"/>
  <c r="L35" i="16" s="1"/>
  <c r="Z27" i="16"/>
  <c r="X35" i="16" s="1"/>
  <c r="AL27" i="16"/>
  <c r="AJ35" i="16" s="1"/>
  <c r="E38" i="16"/>
  <c r="E71" i="16"/>
  <c r="E78" i="16"/>
  <c r="J97" i="16"/>
  <c r="Q110" i="16"/>
  <c r="AE97" i="16"/>
  <c r="AO110" i="16"/>
  <c r="Y98" i="16"/>
  <c r="S102" i="16"/>
  <c r="AL107" i="16"/>
  <c r="H124" i="16"/>
  <c r="T124" i="16"/>
  <c r="AF124" i="16"/>
  <c r="AE124" i="16" s="1"/>
  <c r="E115" i="16"/>
  <c r="E125" i="16"/>
  <c r="Z137" i="16"/>
  <c r="AL137" i="16"/>
  <c r="N155" i="16"/>
  <c r="Z155" i="16"/>
  <c r="E140" i="16"/>
  <c r="AO184" i="16"/>
  <c r="E40" i="16"/>
  <c r="E59" i="16"/>
  <c r="AE104" i="16"/>
  <c r="Y106" i="16"/>
  <c r="J123" i="16"/>
  <c r="C180" i="16"/>
  <c r="M185" i="16"/>
  <c r="Q184" i="16"/>
  <c r="AC184" i="16"/>
  <c r="AK185" i="16"/>
  <c r="W184" i="16"/>
  <c r="AO191" i="16"/>
  <c r="M97" i="16"/>
  <c r="E118" i="16"/>
  <c r="E120" i="16"/>
  <c r="AI124" i="16"/>
  <c r="E127" i="16"/>
  <c r="T137" i="16"/>
  <c r="K212" i="16"/>
  <c r="K232" i="16" s="1"/>
  <c r="W212" i="16"/>
  <c r="AI212" i="16"/>
  <c r="AI232" i="16" s="1"/>
  <c r="W267" i="16"/>
  <c r="V267" i="16" s="1"/>
  <c r="E265" i="16"/>
  <c r="E272" i="16"/>
  <c r="E144" i="16"/>
  <c r="E164" i="16"/>
  <c r="W165" i="16"/>
  <c r="AI165" i="16"/>
  <c r="J176" i="16"/>
  <c r="N187" i="16"/>
  <c r="N196" i="16" s="1"/>
  <c r="R187" i="16"/>
  <c r="V187" i="16"/>
  <c r="W188" i="16" s="1"/>
  <c r="Z187" i="16"/>
  <c r="Z196" i="16" s="1"/>
  <c r="AD187" i="16"/>
  <c r="AH187" i="16"/>
  <c r="AH196" i="16" s="1"/>
  <c r="AL187" i="16"/>
  <c r="AL196" i="16" s="1"/>
  <c r="N175" i="16"/>
  <c r="E215" i="16"/>
  <c r="Q243" i="16"/>
  <c r="N267" i="16"/>
  <c r="M267" i="16" s="1"/>
  <c r="Z267" i="16"/>
  <c r="Y267" i="16" s="1"/>
  <c r="AL267" i="16"/>
  <c r="K267" i="16"/>
  <c r="J267" i="16" s="1"/>
  <c r="AI267" i="16"/>
  <c r="E268" i="16"/>
  <c r="E269" i="16"/>
  <c r="E276" i="16"/>
  <c r="G295" i="16"/>
  <c r="R304" i="16"/>
  <c r="R309" i="16" s="1"/>
  <c r="AC304" i="16"/>
  <c r="AC309" i="16" s="1"/>
  <c r="AC314" i="16" s="1"/>
  <c r="AG304" i="16"/>
  <c r="AG309" i="16" s="1"/>
  <c r="S296" i="16"/>
  <c r="AK296" i="16"/>
  <c r="V297" i="16"/>
  <c r="AB298" i="16"/>
  <c r="AK298" i="16"/>
  <c r="M299" i="16"/>
  <c r="V299" i="16"/>
  <c r="AN299" i="16"/>
  <c r="J300" i="16"/>
  <c r="G307" i="16"/>
  <c r="P307" i="16"/>
  <c r="AH307" i="16"/>
  <c r="S308" i="16"/>
  <c r="AN308" i="16"/>
  <c r="N348" i="16"/>
  <c r="AL348" i="16"/>
  <c r="E337" i="16"/>
  <c r="E343" i="16"/>
  <c r="W464" i="16"/>
  <c r="AI464" i="16"/>
  <c r="E458" i="16"/>
  <c r="AC243" i="16"/>
  <c r="N330" i="16"/>
  <c r="N350" i="16" s="1"/>
  <c r="AL330" i="16"/>
  <c r="E342" i="16"/>
  <c r="E456" i="16"/>
  <c r="E489" i="16"/>
  <c r="E490" i="16"/>
  <c r="AL155" i="16"/>
  <c r="E145" i="16"/>
  <c r="E146" i="16"/>
  <c r="H175" i="16"/>
  <c r="P176" i="16"/>
  <c r="T175" i="16"/>
  <c r="AB176" i="16"/>
  <c r="AF175" i="16"/>
  <c r="AN176" i="16"/>
  <c r="L187" i="16"/>
  <c r="P179" i="16"/>
  <c r="X187" i="16"/>
  <c r="AF178" i="16"/>
  <c r="AJ187" i="16"/>
  <c r="AC181" i="16"/>
  <c r="AK182" i="16"/>
  <c r="AO181" i="16"/>
  <c r="E183" i="16"/>
  <c r="C183" i="16"/>
  <c r="S185" i="16"/>
  <c r="AE185" i="16"/>
  <c r="AI184" i="16"/>
  <c r="D190" i="16"/>
  <c r="C190" i="16"/>
  <c r="W191" i="16"/>
  <c r="AF191" i="16"/>
  <c r="AI191" i="16"/>
  <c r="E221" i="16"/>
  <c r="E222" i="16"/>
  <c r="E223" i="16"/>
  <c r="AO243" i="16"/>
  <c r="T267" i="16"/>
  <c r="S267" i="16" s="1"/>
  <c r="AF267" i="16"/>
  <c r="AE267" i="16" s="1"/>
  <c r="Q267" i="16"/>
  <c r="P267" i="16" s="1"/>
  <c r="AC267" i="16"/>
  <c r="AB267" i="16" s="1"/>
  <c r="AO267" i="16"/>
  <c r="AN267" i="16" s="1"/>
  <c r="E263" i="16"/>
  <c r="N285" i="16"/>
  <c r="M285" i="16" s="1"/>
  <c r="Z285" i="16"/>
  <c r="Y285" i="16" s="1"/>
  <c r="AL285" i="16"/>
  <c r="AK285" i="16" s="1"/>
  <c r="E278" i="16"/>
  <c r="I304" i="16"/>
  <c r="I309" i="16" s="1"/>
  <c r="L304" i="16"/>
  <c r="L309" i="16" s="1"/>
  <c r="V296" i="16"/>
  <c r="S297" i="16"/>
  <c r="AB297" i="16"/>
  <c r="AE298" i="16"/>
  <c r="P299" i="16"/>
  <c r="AK299" i="16"/>
  <c r="AH300" i="16"/>
  <c r="J307" i="16"/>
  <c r="AE307" i="16"/>
  <c r="AN307" i="16"/>
  <c r="P308" i="16"/>
  <c r="Y308" i="16"/>
  <c r="E320" i="16"/>
  <c r="T330" i="16"/>
  <c r="AF330" i="16"/>
  <c r="E334" i="16"/>
  <c r="E335" i="16"/>
  <c r="E455" i="16"/>
  <c r="D9" i="16"/>
  <c r="AH26" i="16"/>
  <c r="I34" i="16"/>
  <c r="K30" i="16"/>
  <c r="AG34" i="16"/>
  <c r="AI30" i="16"/>
  <c r="AN25" i="16"/>
  <c r="AM30" i="16"/>
  <c r="AN26" i="16"/>
  <c r="AN24" i="16"/>
  <c r="S26" i="16"/>
  <c r="S24" i="16"/>
  <c r="S16" i="16"/>
  <c r="R27" i="16"/>
  <c r="S34" i="16" s="1"/>
  <c r="R30" i="16"/>
  <c r="S30" i="16" s="1"/>
  <c r="S25" i="16"/>
  <c r="U27" i="16"/>
  <c r="V37" i="16" s="1"/>
  <c r="E8" i="16"/>
  <c r="V25" i="16"/>
  <c r="U30" i="16"/>
  <c r="V26" i="16"/>
  <c r="V24" i="16"/>
  <c r="L27" i="16"/>
  <c r="M36" i="16" s="1"/>
  <c r="X27" i="16"/>
  <c r="Y34" i="16" s="1"/>
  <c r="AJ27" i="16"/>
  <c r="AK38" i="16" s="1"/>
  <c r="M413" i="16"/>
  <c r="H57" i="16"/>
  <c r="N57" i="16"/>
  <c r="T57" i="16"/>
  <c r="S57" i="16" s="1"/>
  <c r="Z57" i="16"/>
  <c r="AF57" i="16"/>
  <c r="AL57" i="16"/>
  <c r="E468" i="16"/>
  <c r="Q86" i="16"/>
  <c r="AC86" i="16"/>
  <c r="AO86" i="16"/>
  <c r="M122" i="16"/>
  <c r="M119" i="16"/>
  <c r="M117" i="16"/>
  <c r="M115" i="16"/>
  <c r="M105" i="16"/>
  <c r="M123" i="16"/>
  <c r="M121" i="16"/>
  <c r="M120" i="16"/>
  <c r="M118" i="16"/>
  <c r="M116" i="16"/>
  <c r="M114" i="16"/>
  <c r="L107" i="16"/>
  <c r="M107" i="16" s="1"/>
  <c r="U99" i="16"/>
  <c r="V408" i="16" s="1"/>
  <c r="V97" i="16"/>
  <c r="AK119" i="16"/>
  <c r="AK123" i="16"/>
  <c r="AK116" i="16"/>
  <c r="AN120" i="16"/>
  <c r="AN118" i="16"/>
  <c r="AN116" i="16"/>
  <c r="AN114" i="16"/>
  <c r="AM110" i="16"/>
  <c r="AN123" i="16"/>
  <c r="AN121" i="16"/>
  <c r="AN106" i="16"/>
  <c r="AN104" i="16"/>
  <c r="AN119" i="16"/>
  <c r="AN117" i="16"/>
  <c r="AN115" i="16"/>
  <c r="AN99" i="16"/>
  <c r="AN105" i="16"/>
  <c r="K124" i="16"/>
  <c r="H472" i="16"/>
  <c r="E158" i="16"/>
  <c r="T472" i="16"/>
  <c r="T479" i="16" s="1"/>
  <c r="T165" i="16"/>
  <c r="H165" i="16"/>
  <c r="H178" i="16"/>
  <c r="H187" i="16"/>
  <c r="E177" i="16"/>
  <c r="T178" i="16"/>
  <c r="T187" i="16"/>
  <c r="AB179" i="16"/>
  <c r="AB187" i="16"/>
  <c r="AN179" i="16"/>
  <c r="AN187" i="16"/>
  <c r="AF187" i="16"/>
  <c r="W304" i="16"/>
  <c r="W309" i="16" s="1"/>
  <c r="W314" i="16" s="1"/>
  <c r="V295" i="16"/>
  <c r="AM304" i="16"/>
  <c r="AN295" i="16"/>
  <c r="S300" i="16"/>
  <c r="T304" i="16"/>
  <c r="T309" i="16" s="1"/>
  <c r="T314" i="16" s="1"/>
  <c r="AK300" i="16"/>
  <c r="AJ304" i="16"/>
  <c r="J9" i="16"/>
  <c r="V9" i="16"/>
  <c r="AH9" i="16"/>
  <c r="C10" i="16"/>
  <c r="G10" i="16"/>
  <c r="S10" i="16"/>
  <c r="AE10" i="16"/>
  <c r="I16" i="16"/>
  <c r="J413" i="16" s="1"/>
  <c r="J18" i="16"/>
  <c r="V18" i="16"/>
  <c r="AH18" i="16"/>
  <c r="C20" i="16"/>
  <c r="M25" i="16"/>
  <c r="Y25" i="16"/>
  <c r="AK25" i="16"/>
  <c r="AA34" i="16"/>
  <c r="H409" i="16"/>
  <c r="T409" i="16"/>
  <c r="AF409" i="16"/>
  <c r="E45" i="16"/>
  <c r="E53" i="16"/>
  <c r="E60" i="16"/>
  <c r="E64" i="16"/>
  <c r="E68" i="16"/>
  <c r="K75" i="16"/>
  <c r="Q75" i="16"/>
  <c r="W75" i="16"/>
  <c r="AC75" i="16"/>
  <c r="AI75" i="16"/>
  <c r="AO75" i="16"/>
  <c r="E469" i="16"/>
  <c r="AI479" i="16"/>
  <c r="H86" i="16"/>
  <c r="T86" i="16"/>
  <c r="AF86" i="16"/>
  <c r="E97" i="16"/>
  <c r="J120" i="16"/>
  <c r="J118" i="16"/>
  <c r="J116" i="16"/>
  <c r="J114" i="16"/>
  <c r="J122" i="16"/>
  <c r="I107" i="16"/>
  <c r="J107" i="16" s="1"/>
  <c r="J106" i="16"/>
  <c r="J104" i="16"/>
  <c r="J119" i="16"/>
  <c r="J117" i="16"/>
  <c r="J115" i="16"/>
  <c r="I110" i="16"/>
  <c r="R99" i="16"/>
  <c r="AB97" i="16"/>
  <c r="G98" i="16"/>
  <c r="C98" i="16"/>
  <c r="K99" i="16"/>
  <c r="K110" i="16" s="1"/>
  <c r="AA99" i="16"/>
  <c r="J105" i="16"/>
  <c r="M106" i="16"/>
  <c r="AJ110" i="16"/>
  <c r="E117" i="16"/>
  <c r="N137" i="16"/>
  <c r="Q155" i="16"/>
  <c r="AC155" i="16"/>
  <c r="AO155" i="16"/>
  <c r="AF165" i="16"/>
  <c r="D177" i="16"/>
  <c r="W252" i="16"/>
  <c r="M408" i="16"/>
  <c r="R34" i="16"/>
  <c r="AN414" i="16"/>
  <c r="K44" i="16"/>
  <c r="Q44" i="16"/>
  <c r="AC44" i="16"/>
  <c r="AO44" i="16"/>
  <c r="E24" i="16"/>
  <c r="E35" i="16"/>
  <c r="I35" i="16"/>
  <c r="AG35" i="16"/>
  <c r="AN413" i="16"/>
  <c r="Y414" i="16"/>
  <c r="AK414" i="16"/>
  <c r="H44" i="16"/>
  <c r="N44" i="16"/>
  <c r="T44" i="16"/>
  <c r="Z44" i="16"/>
  <c r="AF44" i="16"/>
  <c r="AL44" i="16"/>
  <c r="E46" i="16"/>
  <c r="E54" i="16"/>
  <c r="K57" i="16"/>
  <c r="Q57" i="16"/>
  <c r="W57" i="16"/>
  <c r="AC57" i="16"/>
  <c r="AI57" i="16"/>
  <c r="AO57" i="16"/>
  <c r="E61" i="16"/>
  <c r="E65" i="16"/>
  <c r="E69" i="16"/>
  <c r="N479" i="16"/>
  <c r="Z479" i="16"/>
  <c r="AL479" i="16"/>
  <c r="K86" i="16"/>
  <c r="W86" i="16"/>
  <c r="AI86" i="16"/>
  <c r="AO449" i="16"/>
  <c r="AC449" i="16"/>
  <c r="Q449" i="16"/>
  <c r="AF448" i="16"/>
  <c r="T448" i="16"/>
  <c r="H448" i="16"/>
  <c r="AI447" i="16"/>
  <c r="W447" i="16"/>
  <c r="K447" i="16"/>
  <c r="AL449" i="16"/>
  <c r="Z449" i="16"/>
  <c r="N449" i="16"/>
  <c r="AO448" i="16"/>
  <c r="AC448" i="16"/>
  <c r="Q448" i="16"/>
  <c r="AF447" i="16"/>
  <c r="T447" i="16"/>
  <c r="H447" i="16"/>
  <c r="AI449" i="16"/>
  <c r="W449" i="16"/>
  <c r="K449" i="16"/>
  <c r="AL448" i="16"/>
  <c r="Z448" i="16"/>
  <c r="N448" i="16"/>
  <c r="AO447" i="16"/>
  <c r="AC447" i="16"/>
  <c r="Q447" i="16"/>
  <c r="AF449" i="16"/>
  <c r="W448" i="16"/>
  <c r="N447" i="16"/>
  <c r="AL431" i="16"/>
  <c r="Z431" i="16"/>
  <c r="N431" i="16"/>
  <c r="T449" i="16"/>
  <c r="K448" i="16"/>
  <c r="AI431" i="16"/>
  <c r="W431" i="16"/>
  <c r="K431" i="16"/>
  <c r="H449" i="16"/>
  <c r="AL447" i="16"/>
  <c r="AF431" i="16"/>
  <c r="T431" i="16"/>
  <c r="H431" i="16"/>
  <c r="AC431" i="16"/>
  <c r="AI426" i="16"/>
  <c r="W426" i="16"/>
  <c r="K426" i="16"/>
  <c r="AL425" i="16"/>
  <c r="Z425" i="16"/>
  <c r="N425" i="16"/>
  <c r="AO424" i="16"/>
  <c r="AC424" i="16"/>
  <c r="Q424" i="16"/>
  <c r="AF423" i="16"/>
  <c r="T423" i="16"/>
  <c r="H423" i="16"/>
  <c r="AF417" i="16"/>
  <c r="T417" i="16"/>
  <c r="H417" i="16"/>
  <c r="AI416" i="16"/>
  <c r="W416" i="16"/>
  <c r="K416" i="16"/>
  <c r="AL415" i="16"/>
  <c r="Z415" i="16"/>
  <c r="N415" i="16"/>
  <c r="Q431" i="16"/>
  <c r="AF426" i="16"/>
  <c r="T426" i="16"/>
  <c r="H426" i="16"/>
  <c r="AI425" i="16"/>
  <c r="W425" i="16"/>
  <c r="K425" i="16"/>
  <c r="AL424" i="16"/>
  <c r="Z424" i="16"/>
  <c r="N424" i="16"/>
  <c r="AO423" i="16"/>
  <c r="AC423" i="16"/>
  <c r="Q423" i="16"/>
  <c r="AO417" i="16"/>
  <c r="AC417" i="16"/>
  <c r="Q417" i="16"/>
  <c r="AF416" i="16"/>
  <c r="T416" i="16"/>
  <c r="H416" i="16"/>
  <c r="AI415" i="16"/>
  <c r="W415" i="16"/>
  <c r="K415" i="16"/>
  <c r="AI448" i="16"/>
  <c r="AO426" i="16"/>
  <c r="AC426" i="16"/>
  <c r="Q426" i="16"/>
  <c r="AF425" i="16"/>
  <c r="T425" i="16"/>
  <c r="H425" i="16"/>
  <c r="AI424" i="16"/>
  <c r="W424" i="16"/>
  <c r="K424" i="16"/>
  <c r="AL423" i="16"/>
  <c r="Z423" i="16"/>
  <c r="N423" i="16"/>
  <c r="AL417" i="16"/>
  <c r="Z417" i="16"/>
  <c r="N417" i="16"/>
  <c r="AO416" i="16"/>
  <c r="AC416" i="16"/>
  <c r="Q416" i="16"/>
  <c r="AF415" i="16"/>
  <c r="T415" i="16"/>
  <c r="H415" i="16"/>
  <c r="AL426" i="16"/>
  <c r="AC425" i="16"/>
  <c r="T424" i="16"/>
  <c r="K423" i="16"/>
  <c r="K417" i="16"/>
  <c r="AO415" i="16"/>
  <c r="Z426" i="16"/>
  <c r="Q425" i="16"/>
  <c r="H424" i="16"/>
  <c r="AL416" i="16"/>
  <c r="AC415" i="16"/>
  <c r="N426" i="16"/>
  <c r="AI423" i="16"/>
  <c r="AI417" i="16"/>
  <c r="Z416" i="16"/>
  <c r="Q415" i="16"/>
  <c r="Z447" i="16"/>
  <c r="W417" i="16"/>
  <c r="AO425" i="16"/>
  <c r="N416" i="16"/>
  <c r="AF424" i="16"/>
  <c r="AO431" i="16"/>
  <c r="W423" i="16"/>
  <c r="G119" i="16"/>
  <c r="N99" i="16"/>
  <c r="N110" i="16" s="1"/>
  <c r="Y122" i="16"/>
  <c r="Y119" i="16"/>
  <c r="Y117" i="16"/>
  <c r="Y115" i="16"/>
  <c r="Y105" i="16"/>
  <c r="Y123" i="16"/>
  <c r="Y121" i="16"/>
  <c r="Y120" i="16"/>
  <c r="Y118" i="16"/>
  <c r="Y116" i="16"/>
  <c r="Y114" i="16"/>
  <c r="X107" i="16"/>
  <c r="AG99" i="16"/>
  <c r="AH97" i="16"/>
  <c r="AL99" i="16"/>
  <c r="E98" i="16"/>
  <c r="M98" i="16"/>
  <c r="AK98" i="16"/>
  <c r="G102" i="16"/>
  <c r="AE102" i="16"/>
  <c r="X110" i="16"/>
  <c r="N124" i="16"/>
  <c r="Z124" i="16"/>
  <c r="AL124" i="16"/>
  <c r="E119" i="16"/>
  <c r="AN122" i="16"/>
  <c r="E126" i="16"/>
  <c r="H155" i="16"/>
  <c r="E138" i="16"/>
  <c r="T155" i="16"/>
  <c r="AF155" i="16"/>
  <c r="K196" i="16"/>
  <c r="W196" i="16"/>
  <c r="V230" i="16" s="1"/>
  <c r="AH267" i="16"/>
  <c r="AK408" i="16"/>
  <c r="AN410" i="16"/>
  <c r="W44" i="16"/>
  <c r="AI44" i="16"/>
  <c r="U35" i="16"/>
  <c r="AN409" i="16"/>
  <c r="M410" i="16"/>
  <c r="Y410" i="16"/>
  <c r="AK410" i="16"/>
  <c r="E37" i="16"/>
  <c r="AN411" i="16"/>
  <c r="Y412" i="16"/>
  <c r="AK412" i="16"/>
  <c r="E39" i="16"/>
  <c r="P9" i="16"/>
  <c r="AB9" i="16"/>
  <c r="AN9" i="16"/>
  <c r="P18" i="16"/>
  <c r="AB18" i="16"/>
  <c r="AN18" i="16"/>
  <c r="M24" i="16"/>
  <c r="Y24" i="16"/>
  <c r="AK24" i="16"/>
  <c r="M26" i="16"/>
  <c r="Y26" i="16"/>
  <c r="AK26" i="16"/>
  <c r="E34" i="16"/>
  <c r="Q418" i="16"/>
  <c r="AC418" i="16"/>
  <c r="AN408" i="16"/>
  <c r="M409" i="16"/>
  <c r="Y409" i="16"/>
  <c r="M37" i="16"/>
  <c r="E47" i="16"/>
  <c r="E55" i="16"/>
  <c r="E58" i="16"/>
  <c r="E62" i="16"/>
  <c r="E66" i="16"/>
  <c r="E70" i="16"/>
  <c r="H75" i="16"/>
  <c r="N75" i="16"/>
  <c r="T75" i="16"/>
  <c r="S75" i="16" s="1"/>
  <c r="Z75" i="16"/>
  <c r="AF75" i="16"/>
  <c r="AL75" i="16"/>
  <c r="E81" i="16"/>
  <c r="E85" i="16"/>
  <c r="N86" i="16"/>
  <c r="Z86" i="16"/>
  <c r="AL86" i="16"/>
  <c r="P97" i="16"/>
  <c r="AE123" i="16"/>
  <c r="AE121" i="16"/>
  <c r="AE119" i="16"/>
  <c r="AE117" i="16"/>
  <c r="AE115" i="16"/>
  <c r="AD107" i="16"/>
  <c r="AE107" i="16" s="1"/>
  <c r="AD110" i="16"/>
  <c r="AE105" i="16"/>
  <c r="AE122" i="16"/>
  <c r="AE120" i="16"/>
  <c r="AE118" i="16"/>
  <c r="AE116" i="16"/>
  <c r="AE114" i="16"/>
  <c r="AN97" i="16"/>
  <c r="M104" i="16"/>
  <c r="AK104" i="16"/>
  <c r="AM107" i="16"/>
  <c r="AN107" i="16" s="1"/>
  <c r="L110" i="16"/>
  <c r="K137" i="16"/>
  <c r="W137" i="16"/>
  <c r="V137" i="16" s="1"/>
  <c r="AI137" i="16"/>
  <c r="E134" i="16"/>
  <c r="K155" i="16"/>
  <c r="W155" i="16"/>
  <c r="V155" i="16" s="1"/>
  <c r="AI155" i="16"/>
  <c r="E141" i="16"/>
  <c r="P187" i="16"/>
  <c r="H251" i="16"/>
  <c r="E242" i="16"/>
  <c r="H243" i="16"/>
  <c r="N251" i="16"/>
  <c r="N243" i="16"/>
  <c r="T251" i="16"/>
  <c r="T243" i="16"/>
  <c r="Z251" i="16"/>
  <c r="Z243" i="16"/>
  <c r="AF251" i="16"/>
  <c r="AF243" i="16"/>
  <c r="AL251" i="16"/>
  <c r="AL243" i="16"/>
  <c r="H107" i="16"/>
  <c r="K165" i="16"/>
  <c r="C177" i="16"/>
  <c r="M179" i="16"/>
  <c r="Q178" i="16"/>
  <c r="Y179" i="16"/>
  <c r="AC178" i="16"/>
  <c r="AK179" i="16"/>
  <c r="AO178" i="16"/>
  <c r="Z178" i="16"/>
  <c r="J179" i="16"/>
  <c r="H181" i="16"/>
  <c r="E180" i="16"/>
  <c r="E186" i="16"/>
  <c r="N230" i="16"/>
  <c r="Z230" i="16"/>
  <c r="Z232" i="16" s="1"/>
  <c r="AL230" i="16"/>
  <c r="AK267" i="16"/>
  <c r="V330" i="16"/>
  <c r="K474" i="16"/>
  <c r="K479" i="16" s="1"/>
  <c r="E160" i="16"/>
  <c r="E174" i="16"/>
  <c r="I187" i="16"/>
  <c r="M187" i="16"/>
  <c r="Q187" i="16"/>
  <c r="U187" i="16"/>
  <c r="Y187" i="16"/>
  <c r="AC187" i="16"/>
  <c r="AG187" i="16"/>
  <c r="AK187" i="16"/>
  <c r="AO187" i="16"/>
  <c r="Z175" i="16"/>
  <c r="AH176" i="16"/>
  <c r="D182" i="16"/>
  <c r="M182" i="16"/>
  <c r="Q181" i="16"/>
  <c r="Y182" i="16"/>
  <c r="K184" i="16"/>
  <c r="H191" i="16"/>
  <c r="E200" i="16"/>
  <c r="H212" i="16"/>
  <c r="E207" i="16"/>
  <c r="Q230" i="16"/>
  <c r="AC230" i="16"/>
  <c r="AO230" i="16"/>
  <c r="AO232" i="16" s="1"/>
  <c r="E225" i="16"/>
  <c r="E226" i="16"/>
  <c r="Q252" i="16"/>
  <c r="AC252" i="16"/>
  <c r="AO252" i="16"/>
  <c r="M298" i="16"/>
  <c r="E298" i="16"/>
  <c r="K396" i="16"/>
  <c r="J396" i="16" s="1"/>
  <c r="J394" i="16"/>
  <c r="C102" i="16"/>
  <c r="D102" i="16" s="1"/>
  <c r="Q472" i="16"/>
  <c r="Q165" i="16"/>
  <c r="AC472" i="16"/>
  <c r="AC479" i="16" s="1"/>
  <c r="AC165" i="16"/>
  <c r="AO472" i="16"/>
  <c r="AO165" i="16"/>
  <c r="F187" i="16"/>
  <c r="C174" i="16"/>
  <c r="J187" i="16"/>
  <c r="K188" i="16" s="1"/>
  <c r="D174" i="16"/>
  <c r="M176" i="16"/>
  <c r="N178" i="16"/>
  <c r="AL178" i="16"/>
  <c r="G185" i="16"/>
  <c r="D183" i="16"/>
  <c r="E190" i="16"/>
  <c r="K191" i="16"/>
  <c r="E202" i="16"/>
  <c r="E203" i="16"/>
  <c r="E210" i="16"/>
  <c r="H230" i="16"/>
  <c r="T230" i="16"/>
  <c r="AF230" i="16"/>
  <c r="E214" i="16"/>
  <c r="E255" i="16"/>
  <c r="H267" i="16"/>
  <c r="E262" i="16"/>
  <c r="C295" i="16"/>
  <c r="G296" i="16"/>
  <c r="E296" i="16"/>
  <c r="H304" i="16"/>
  <c r="H309" i="16" s="1"/>
  <c r="H314" i="16" s="1"/>
  <c r="AL350" i="16"/>
  <c r="S361" i="16"/>
  <c r="Z396" i="16"/>
  <c r="Y376" i="16"/>
  <c r="E473" i="16"/>
  <c r="N165" i="16"/>
  <c r="Z165" i="16"/>
  <c r="AL165" i="16"/>
  <c r="E213" i="16"/>
  <c r="D242" i="16"/>
  <c r="D251" i="16" s="1"/>
  <c r="K243" i="16"/>
  <c r="W243" i="16"/>
  <c r="AI243" i="16"/>
  <c r="Q285" i="16"/>
  <c r="P285" i="16" s="1"/>
  <c r="AC285" i="16"/>
  <c r="AB285" i="16" s="1"/>
  <c r="AO285" i="16"/>
  <c r="AN285" i="16" s="1"/>
  <c r="E277" i="16"/>
  <c r="N304" i="16"/>
  <c r="N309" i="16" s="1"/>
  <c r="N314" i="16" s="1"/>
  <c r="AD304" i="16"/>
  <c r="AI304" i="16"/>
  <c r="AI309" i="16" s="1"/>
  <c r="AI314" i="16" s="1"/>
  <c r="AH330" i="16" s="1"/>
  <c r="AH295" i="16"/>
  <c r="AO309" i="16"/>
  <c r="AO314" i="16" s="1"/>
  <c r="AN330" i="16" s="1"/>
  <c r="C297" i="16"/>
  <c r="J297" i="16"/>
  <c r="C299" i="16"/>
  <c r="E307" i="16"/>
  <c r="G308" i="16"/>
  <c r="C308" i="16"/>
  <c r="E326" i="16"/>
  <c r="H330" i="16"/>
  <c r="Z348" i="16"/>
  <c r="E333" i="16"/>
  <c r="E338" i="16"/>
  <c r="AC398" i="16"/>
  <c r="E394" i="16"/>
  <c r="D394" i="16" s="1"/>
  <c r="AI396" i="16"/>
  <c r="AH396" i="16" s="1"/>
  <c r="AH394" i="16"/>
  <c r="K175" i="16"/>
  <c r="W175" i="16"/>
  <c r="AI175" i="16"/>
  <c r="G176" i="16"/>
  <c r="S176" i="16"/>
  <c r="AE176" i="16"/>
  <c r="H285" i="16"/>
  <c r="G285" i="16" s="1"/>
  <c r="T285" i="16"/>
  <c r="S285" i="16" s="1"/>
  <c r="AF285" i="16"/>
  <c r="AE285" i="16" s="1"/>
  <c r="E281" i="16"/>
  <c r="O304" i="16"/>
  <c r="P295" i="16"/>
  <c r="Z304" i="16"/>
  <c r="Z309" i="16" s="1"/>
  <c r="Z314" i="16" s="1"/>
  <c r="E297" i="16"/>
  <c r="G298" i="16"/>
  <c r="C298" i="16"/>
  <c r="C300" i="16"/>
  <c r="M300" i="16"/>
  <c r="AF304" i="16"/>
  <c r="AF309" i="16" s="1"/>
  <c r="AF314" i="16" s="1"/>
  <c r="AB330" i="16"/>
  <c r="C361" i="16"/>
  <c r="D361" i="16" s="1"/>
  <c r="D359" i="16"/>
  <c r="AK361" i="16"/>
  <c r="M376" i="16"/>
  <c r="N396" i="16"/>
  <c r="M396" i="16" s="1"/>
  <c r="AK376" i="16"/>
  <c r="AL396" i="16"/>
  <c r="T396" i="16"/>
  <c r="K285" i="16"/>
  <c r="J285" i="16" s="1"/>
  <c r="W285" i="16"/>
  <c r="V285" i="16" s="1"/>
  <c r="AI285" i="16"/>
  <c r="AH285" i="16" s="1"/>
  <c r="E270" i="16"/>
  <c r="E280" i="16"/>
  <c r="F309" i="16"/>
  <c r="K304" i="16"/>
  <c r="K309" i="16" s="1"/>
  <c r="K314" i="16" s="1"/>
  <c r="J330" i="16" s="1"/>
  <c r="J295" i="16"/>
  <c r="E295" i="16"/>
  <c r="AA304" i="16"/>
  <c r="AB295" i="16"/>
  <c r="AL304" i="16"/>
  <c r="AL309" i="16" s="1"/>
  <c r="AL314" i="16" s="1"/>
  <c r="C296" i="16"/>
  <c r="M296" i="16"/>
  <c r="G300" i="16"/>
  <c r="E300" i="16"/>
  <c r="M308" i="16"/>
  <c r="E308" i="16"/>
  <c r="E319" i="16"/>
  <c r="E331" i="16"/>
  <c r="H348" i="16"/>
  <c r="T348" i="16"/>
  <c r="AF348" i="16"/>
  <c r="G376" i="16"/>
  <c r="H396" i="16"/>
  <c r="AE376" i="16"/>
  <c r="AF396" i="16"/>
  <c r="AE396" i="16" s="1"/>
  <c r="E318" i="16"/>
  <c r="K348" i="16"/>
  <c r="K350" i="16" s="1"/>
  <c r="W348" i="16"/>
  <c r="AI348" i="16"/>
  <c r="E341" i="16"/>
  <c r="V394" i="16"/>
  <c r="M295" i="16"/>
  <c r="Y295" i="16"/>
  <c r="AK295" i="16"/>
  <c r="C307" i="16"/>
  <c r="E376" i="16"/>
  <c r="P394" i="16"/>
  <c r="AN394" i="16"/>
  <c r="E419" i="16"/>
  <c r="Q348" i="16"/>
  <c r="AC348" i="16"/>
  <c r="AO348" i="16"/>
  <c r="E451" i="16"/>
  <c r="K464" i="16"/>
  <c r="N464" i="16"/>
  <c r="Z464" i="16"/>
  <c r="AL464" i="16"/>
  <c r="E470" i="16"/>
  <c r="Y39" i="16" l="1"/>
  <c r="V348" i="16"/>
  <c r="AE110" i="16"/>
  <c r="AE155" i="16"/>
  <c r="V412" i="16"/>
  <c r="V410" i="16"/>
  <c r="S124" i="16"/>
  <c r="V188" i="16"/>
  <c r="V124" i="16"/>
  <c r="S330" i="16"/>
  <c r="AK212" i="16"/>
  <c r="AF30" i="16"/>
  <c r="E16" i="16"/>
  <c r="AJ107" i="16"/>
  <c r="AK115" i="16"/>
  <c r="AH16" i="16"/>
  <c r="AK16" i="16"/>
  <c r="V304" i="16"/>
  <c r="M39" i="16"/>
  <c r="J212" i="16"/>
  <c r="AK120" i="16"/>
  <c r="AG27" i="16"/>
  <c r="AH36" i="16" s="1"/>
  <c r="Q479" i="16"/>
  <c r="E181" i="16"/>
  <c r="AE99" i="16"/>
  <c r="V196" i="16"/>
  <c r="J350" i="16"/>
  <c r="AK37" i="16"/>
  <c r="S348" i="16"/>
  <c r="AO479" i="16"/>
  <c r="AK413" i="16"/>
  <c r="P348" i="16"/>
  <c r="V36" i="16"/>
  <c r="V35" i="16"/>
  <c r="AL110" i="16"/>
  <c r="V38" i="16"/>
  <c r="V40" i="16"/>
  <c r="AH35" i="16"/>
  <c r="AH410" i="16"/>
  <c r="AK118" i="16"/>
  <c r="AK105" i="16"/>
  <c r="AK122" i="16"/>
  <c r="AH24" i="16"/>
  <c r="AH25" i="16"/>
  <c r="AE188" i="16"/>
  <c r="AN137" i="16"/>
  <c r="AK106" i="16"/>
  <c r="AK114" i="16"/>
  <c r="AK121" i="16"/>
  <c r="AK411" i="16"/>
  <c r="M34" i="16"/>
  <c r="AO30" i="16"/>
  <c r="AN57" i="16" s="1"/>
  <c r="Y413" i="16"/>
  <c r="K398" i="16"/>
  <c r="Q398" i="16"/>
  <c r="AN27" i="16"/>
  <c r="AN35" i="16"/>
  <c r="AN36" i="16"/>
  <c r="AN38" i="16"/>
  <c r="AN34" i="16"/>
  <c r="AN37" i="16"/>
  <c r="AN39" i="16"/>
  <c r="AN40" i="16"/>
  <c r="Y107" i="16"/>
  <c r="AD34" i="16"/>
  <c r="E464" i="16"/>
  <c r="AK34" i="16"/>
  <c r="AH188" i="16"/>
  <c r="AK39" i="16"/>
  <c r="AI188" i="16"/>
  <c r="S188" i="16"/>
  <c r="G117" i="16"/>
  <c r="S413" i="16"/>
  <c r="D10" i="16"/>
  <c r="AE348" i="16"/>
  <c r="V39" i="16"/>
  <c r="AL287" i="16"/>
  <c r="AK287" i="16" s="1"/>
  <c r="E408" i="16"/>
  <c r="Y37" i="16"/>
  <c r="AJ34" i="16"/>
  <c r="M40" i="16"/>
  <c r="E434" i="16"/>
  <c r="G57" i="16"/>
  <c r="AB25" i="16"/>
  <c r="J75" i="16"/>
  <c r="M348" i="16"/>
  <c r="W232" i="16"/>
  <c r="V232" i="16" s="1"/>
  <c r="AN412" i="16"/>
  <c r="AK36" i="16"/>
  <c r="P121" i="16"/>
  <c r="AN155" i="16"/>
  <c r="AN110" i="16"/>
  <c r="AK107" i="16"/>
  <c r="P124" i="16"/>
  <c r="E433" i="16"/>
  <c r="V411" i="16"/>
  <c r="E440" i="16"/>
  <c r="AC110" i="16"/>
  <c r="AB124" i="16" s="1"/>
  <c r="AN124" i="16"/>
  <c r="AO450" i="16"/>
  <c r="E412" i="16"/>
  <c r="AE408" i="16"/>
  <c r="AH40" i="16"/>
  <c r="AH38" i="16"/>
  <c r="S411" i="16"/>
  <c r="F34" i="16"/>
  <c r="G118" i="16"/>
  <c r="G414" i="16"/>
  <c r="M38" i="16"/>
  <c r="P410" i="16"/>
  <c r="F30" i="16"/>
  <c r="G30" i="16" s="1"/>
  <c r="P122" i="16"/>
  <c r="AH124" i="16"/>
  <c r="E441" i="16"/>
  <c r="AE413" i="16"/>
  <c r="D185" i="16"/>
  <c r="J155" i="16"/>
  <c r="J137" i="16"/>
  <c r="S39" i="16"/>
  <c r="AB348" i="16"/>
  <c r="G75" i="16"/>
  <c r="G116" i="16"/>
  <c r="AE412" i="16"/>
  <c r="T418" i="16"/>
  <c r="AD27" i="16"/>
  <c r="AE34" i="16" s="1"/>
  <c r="AF450" i="16"/>
  <c r="AE414" i="16"/>
  <c r="V413" i="16"/>
  <c r="E413" i="16"/>
  <c r="P155" i="16"/>
  <c r="AE409" i="16"/>
  <c r="AE25" i="16"/>
  <c r="AE26" i="16"/>
  <c r="U34" i="16"/>
  <c r="AN16" i="16"/>
  <c r="E445" i="16"/>
  <c r="E421" i="16"/>
  <c r="C99" i="16"/>
  <c r="D122" i="16" s="1"/>
  <c r="E435" i="16"/>
  <c r="Y232" i="16"/>
  <c r="AH348" i="16"/>
  <c r="AE410" i="16"/>
  <c r="AD30" i="16"/>
  <c r="E443" i="16"/>
  <c r="V414" i="16"/>
  <c r="K418" i="16"/>
  <c r="E427" i="16"/>
  <c r="Z418" i="16"/>
  <c r="AL432" i="16"/>
  <c r="H432" i="16"/>
  <c r="N418" i="16"/>
  <c r="E442" i="16"/>
  <c r="AI418" i="16"/>
  <c r="P412" i="16"/>
  <c r="AN348" i="16"/>
  <c r="AF418" i="16"/>
  <c r="AE411" i="16"/>
  <c r="W30" i="16"/>
  <c r="W406" i="16" s="1"/>
  <c r="U479" i="16" s="1"/>
  <c r="E446" i="16"/>
  <c r="E438" i="16"/>
  <c r="E428" i="16"/>
  <c r="G413" i="16"/>
  <c r="E107" i="16"/>
  <c r="E478" i="16"/>
  <c r="E444" i="16"/>
  <c r="E439" i="16"/>
  <c r="E430" i="16"/>
  <c r="J410" i="16"/>
  <c r="S137" i="16"/>
  <c r="AC450" i="16"/>
  <c r="E429" i="16"/>
  <c r="E420" i="16"/>
  <c r="E436" i="16"/>
  <c r="AB35" i="16"/>
  <c r="AB38" i="16"/>
  <c r="AB39" i="16"/>
  <c r="AB40" i="16"/>
  <c r="AB36" i="16"/>
  <c r="AI432" i="16"/>
  <c r="O27" i="16"/>
  <c r="AF157" i="16"/>
  <c r="AE157" i="16" s="1"/>
  <c r="W418" i="16"/>
  <c r="F27" i="16"/>
  <c r="G35" i="16" s="1"/>
  <c r="O107" i="16"/>
  <c r="P107" i="16" s="1"/>
  <c r="P123" i="16"/>
  <c r="Z450" i="16"/>
  <c r="N450" i="16"/>
  <c r="AB412" i="16"/>
  <c r="P414" i="16"/>
  <c r="G24" i="16"/>
  <c r="P99" i="16"/>
  <c r="O110" i="16"/>
  <c r="P110" i="16" s="1"/>
  <c r="P409" i="16"/>
  <c r="E422" i="16"/>
  <c r="E437" i="16"/>
  <c r="T432" i="16"/>
  <c r="E414" i="16"/>
  <c r="W450" i="16"/>
  <c r="G188" i="16"/>
  <c r="N188" i="16"/>
  <c r="Q450" i="16"/>
  <c r="AH212" i="16"/>
  <c r="E124" i="16"/>
  <c r="G120" i="16"/>
  <c r="G121" i="16"/>
  <c r="J348" i="16"/>
  <c r="AH155" i="16"/>
  <c r="E86" i="16"/>
  <c r="S37" i="16"/>
  <c r="AB408" i="16"/>
  <c r="AH409" i="16"/>
  <c r="G122" i="16"/>
  <c r="G123" i="16"/>
  <c r="AB413" i="16"/>
  <c r="E410" i="16"/>
  <c r="Y411" i="16"/>
  <c r="G26" i="16"/>
  <c r="P115" i="16"/>
  <c r="P114" i="16"/>
  <c r="P24" i="16"/>
  <c r="E191" i="16"/>
  <c r="G410" i="16"/>
  <c r="L34" i="16"/>
  <c r="E411" i="16"/>
  <c r="P137" i="16"/>
  <c r="AE16" i="16"/>
  <c r="AB24" i="16"/>
  <c r="P117" i="16"/>
  <c r="P116" i="16"/>
  <c r="P26" i="16"/>
  <c r="AC30" i="16"/>
  <c r="AB57" i="16" s="1"/>
  <c r="AO418" i="16"/>
  <c r="AH414" i="16"/>
  <c r="W432" i="16"/>
  <c r="AO398" i="16"/>
  <c r="E243" i="16"/>
  <c r="AE75" i="16"/>
  <c r="P411" i="16"/>
  <c r="S408" i="16"/>
  <c r="AL418" i="16"/>
  <c r="S155" i="16"/>
  <c r="F110" i="16"/>
  <c r="Z432" i="16"/>
  <c r="Q432" i="16"/>
  <c r="N432" i="16"/>
  <c r="AO432" i="16"/>
  <c r="G408" i="16"/>
  <c r="G411" i="16"/>
  <c r="D97" i="16"/>
  <c r="S40" i="16"/>
  <c r="G99" i="16"/>
  <c r="AE57" i="16"/>
  <c r="AB26" i="16"/>
  <c r="P119" i="16"/>
  <c r="P118" i="16"/>
  <c r="O30" i="16"/>
  <c r="AC432" i="16"/>
  <c r="Z287" i="16"/>
  <c r="Y287" i="16" s="1"/>
  <c r="AB411" i="16"/>
  <c r="G105" i="16"/>
  <c r="AC232" i="16"/>
  <c r="N287" i="16"/>
  <c r="M287" i="16" s="1"/>
  <c r="P408" i="16"/>
  <c r="P413" i="16"/>
  <c r="E155" i="16"/>
  <c r="F107" i="16"/>
  <c r="G107" i="16" s="1"/>
  <c r="AF432" i="16"/>
  <c r="AB409" i="16"/>
  <c r="AB414" i="16"/>
  <c r="AB410" i="16"/>
  <c r="AB16" i="16"/>
  <c r="P104" i="16"/>
  <c r="P120" i="16"/>
  <c r="G304" i="16"/>
  <c r="D299" i="16"/>
  <c r="E285" i="16"/>
  <c r="D285" i="16" s="1"/>
  <c r="E230" i="16"/>
  <c r="AF287" i="16"/>
  <c r="AE287" i="16" s="1"/>
  <c r="H110" i="16"/>
  <c r="G137" i="16" s="1"/>
  <c r="J230" i="16"/>
  <c r="AH137" i="16"/>
  <c r="G106" i="16"/>
  <c r="G114" i="16"/>
  <c r="G115" i="16"/>
  <c r="K432" i="16"/>
  <c r="G412" i="16"/>
  <c r="E27" i="16"/>
  <c r="E30" i="16" s="1"/>
  <c r="D20" i="16"/>
  <c r="AA30" i="16"/>
  <c r="P105" i="16"/>
  <c r="Z30" i="16"/>
  <c r="Y30" i="16" s="1"/>
  <c r="P16" i="16"/>
  <c r="Z110" i="16"/>
  <c r="Y155" i="16" s="1"/>
  <c r="AK350" i="16"/>
  <c r="E304" i="16"/>
  <c r="E309" i="16" s="1"/>
  <c r="E314" i="16" s="1"/>
  <c r="M230" i="16"/>
  <c r="D300" i="16"/>
  <c r="T450" i="16"/>
  <c r="K450" i="16"/>
  <c r="S38" i="16"/>
  <c r="AB37" i="16"/>
  <c r="G16" i="16"/>
  <c r="Q30" i="16"/>
  <c r="P57" i="16" s="1"/>
  <c r="AL30" i="16"/>
  <c r="AK30" i="16" s="1"/>
  <c r="N30" i="16"/>
  <c r="M30" i="16" s="1"/>
  <c r="J304" i="16"/>
  <c r="E474" i="16"/>
  <c r="N352" i="16"/>
  <c r="C187" i="16"/>
  <c r="M110" i="16"/>
  <c r="K287" i="16"/>
  <c r="J287" i="16" s="1"/>
  <c r="E137" i="16"/>
  <c r="AL450" i="16"/>
  <c r="S36" i="16"/>
  <c r="AC157" i="16"/>
  <c r="E449" i="16"/>
  <c r="AI450" i="16"/>
  <c r="J57" i="16"/>
  <c r="Y16" i="16"/>
  <c r="AO188" i="16"/>
  <c r="AO196" i="16"/>
  <c r="AN232" i="16" s="1"/>
  <c r="T252" i="16"/>
  <c r="E431" i="16"/>
  <c r="AL77" i="16"/>
  <c r="N77" i="16"/>
  <c r="AO77" i="16"/>
  <c r="D179" i="16"/>
  <c r="S123" i="16"/>
  <c r="S121" i="16"/>
  <c r="S119" i="16"/>
  <c r="S117" i="16"/>
  <c r="S115" i="16"/>
  <c r="R107" i="16"/>
  <c r="S107" i="16" s="1"/>
  <c r="R110" i="16"/>
  <c r="S110" i="16" s="1"/>
  <c r="S105" i="16"/>
  <c r="S122" i="16"/>
  <c r="S120" i="16"/>
  <c r="S118" i="16"/>
  <c r="S116" i="16"/>
  <c r="S114" i="16"/>
  <c r="S99" i="16"/>
  <c r="S104" i="16"/>
  <c r="S106" i="16"/>
  <c r="E57" i="16"/>
  <c r="G409" i="16"/>
  <c r="E409" i="16"/>
  <c r="J25" i="16"/>
  <c r="I30" i="16"/>
  <c r="J30" i="16" s="1"/>
  <c r="J16" i="16"/>
  <c r="J26" i="16"/>
  <c r="J24" i="16"/>
  <c r="AJ309" i="16"/>
  <c r="AK304" i="16"/>
  <c r="R314" i="16"/>
  <c r="S309" i="16"/>
  <c r="AC287" i="16"/>
  <c r="E184" i="16"/>
  <c r="H196" i="16"/>
  <c r="H188" i="16"/>
  <c r="Y35" i="16"/>
  <c r="Y27" i="16"/>
  <c r="AH27" i="16"/>
  <c r="AH34" i="16"/>
  <c r="S414" i="16"/>
  <c r="V27" i="16"/>
  <c r="V34" i="16"/>
  <c r="AI406" i="16"/>
  <c r="AG479" i="16" s="1"/>
  <c r="F314" i="16"/>
  <c r="G309" i="16"/>
  <c r="Y196" i="16"/>
  <c r="Z197" i="16" s="1"/>
  <c r="Y188" i="16"/>
  <c r="D376" i="16"/>
  <c r="E396" i="16"/>
  <c r="AF398" i="16"/>
  <c r="AO350" i="16"/>
  <c r="AN350" i="16" s="1"/>
  <c r="Q350" i="16"/>
  <c r="D308" i="16"/>
  <c r="N398" i="16"/>
  <c r="M330" i="16"/>
  <c r="E267" i="16"/>
  <c r="Z188" i="16"/>
  <c r="Y330" i="16"/>
  <c r="T232" i="16"/>
  <c r="AK196" i="16"/>
  <c r="AL197" i="16" s="1"/>
  <c r="AK188" i="16"/>
  <c r="E187" i="16"/>
  <c r="E175" i="16"/>
  <c r="AI350" i="16"/>
  <c r="AH350" i="16" s="1"/>
  <c r="AK230" i="16"/>
  <c r="T350" i="16"/>
  <c r="S350" i="16" s="1"/>
  <c r="H252" i="16"/>
  <c r="P188" i="16"/>
  <c r="P196" i="16"/>
  <c r="E75" i="16"/>
  <c r="AI77" i="16"/>
  <c r="AH77" i="16" s="1"/>
  <c r="AH44" i="16"/>
  <c r="AI197" i="16"/>
  <c r="AI234" i="16"/>
  <c r="W197" i="16"/>
  <c r="K234" i="16"/>
  <c r="T157" i="16"/>
  <c r="AL157" i="16"/>
  <c r="AK157" i="16" s="1"/>
  <c r="AK124" i="16"/>
  <c r="E424" i="16"/>
  <c r="E425" i="16"/>
  <c r="E447" i="16"/>
  <c r="E448" i="16"/>
  <c r="AF77" i="16"/>
  <c r="AE44" i="16"/>
  <c r="H77" i="16"/>
  <c r="G44" i="16"/>
  <c r="AH413" i="16"/>
  <c r="AH411" i="16"/>
  <c r="S410" i="16"/>
  <c r="AC77" i="16"/>
  <c r="J409" i="16"/>
  <c r="M137" i="16"/>
  <c r="D98" i="16"/>
  <c r="J110" i="16"/>
  <c r="J99" i="16"/>
  <c r="Y40" i="16"/>
  <c r="Y38" i="16"/>
  <c r="Y36" i="16"/>
  <c r="S409" i="16"/>
  <c r="I27" i="16"/>
  <c r="AM309" i="16"/>
  <c r="AN304" i="16"/>
  <c r="M212" i="16"/>
  <c r="AN188" i="16"/>
  <c r="AN196" i="16"/>
  <c r="T196" i="16"/>
  <c r="S230" i="16" s="1"/>
  <c r="T188" i="16"/>
  <c r="E165" i="16"/>
  <c r="M155" i="16"/>
  <c r="K157" i="16"/>
  <c r="J157" i="16" s="1"/>
  <c r="J124" i="16"/>
  <c r="H157" i="16"/>
  <c r="AH412" i="16"/>
  <c r="M35" i="16"/>
  <c r="M27" i="16"/>
  <c r="AB34" i="16"/>
  <c r="AB27" i="16"/>
  <c r="S27" i="16"/>
  <c r="S35" i="16"/>
  <c r="J309" i="16"/>
  <c r="I314" i="16"/>
  <c r="E417" i="16"/>
  <c r="AA309" i="16"/>
  <c r="AB304" i="16"/>
  <c r="D298" i="16"/>
  <c r="AI398" i="16"/>
  <c r="D307" i="16"/>
  <c r="G348" i="16"/>
  <c r="D296" i="16"/>
  <c r="K352" i="16"/>
  <c r="T398" i="16"/>
  <c r="S396" i="16"/>
  <c r="O309" i="16"/>
  <c r="P304" i="16"/>
  <c r="Y348" i="16"/>
  <c r="D297" i="16"/>
  <c r="AD309" i="16"/>
  <c r="AE304" i="16"/>
  <c r="Y396" i="16"/>
  <c r="Z398" i="16"/>
  <c r="M350" i="16"/>
  <c r="C304" i="16"/>
  <c r="D295" i="16"/>
  <c r="E251" i="16"/>
  <c r="AL188" i="16"/>
  <c r="Z234" i="16"/>
  <c r="D176" i="16"/>
  <c r="D187" i="16"/>
  <c r="Z350" i="16"/>
  <c r="Y350" i="16" s="1"/>
  <c r="M304" i="16"/>
  <c r="H232" i="16"/>
  <c r="Q188" i="16"/>
  <c r="Q196" i="16"/>
  <c r="W350" i="16"/>
  <c r="V350" i="16" s="1"/>
  <c r="Y230" i="16"/>
  <c r="AE330" i="16"/>
  <c r="Y304" i="16"/>
  <c r="AL289" i="16"/>
  <c r="AL252" i="16"/>
  <c r="Z252" i="16"/>
  <c r="N252" i="16"/>
  <c r="AH230" i="16"/>
  <c r="W77" i="16"/>
  <c r="AI287" i="16"/>
  <c r="Z157" i="16"/>
  <c r="AH120" i="16"/>
  <c r="AH118" i="16"/>
  <c r="AH116" i="16"/>
  <c r="AH114" i="16"/>
  <c r="AH99" i="16"/>
  <c r="AH122" i="16"/>
  <c r="AG107" i="16"/>
  <c r="AH107" i="16" s="1"/>
  <c r="AH106" i="16"/>
  <c r="AH104" i="16"/>
  <c r="AH119" i="16"/>
  <c r="AH117" i="16"/>
  <c r="AH115" i="16"/>
  <c r="AG110" i="16"/>
  <c r="AH110" i="16" s="1"/>
  <c r="AH123" i="16"/>
  <c r="AH121" i="16"/>
  <c r="AH105" i="16"/>
  <c r="E415" i="16"/>
  <c r="E426" i="16"/>
  <c r="Z77" i="16"/>
  <c r="S412" i="16"/>
  <c r="H418" i="16"/>
  <c r="Q77" i="16"/>
  <c r="J414" i="16"/>
  <c r="AK110" i="16"/>
  <c r="E99" i="16"/>
  <c r="AH39" i="16"/>
  <c r="AH37" i="16"/>
  <c r="AH408" i="16"/>
  <c r="J408" i="16"/>
  <c r="AH304" i="16"/>
  <c r="AO287" i="16"/>
  <c r="Q287" i="16"/>
  <c r="V212" i="16"/>
  <c r="AL232" i="16"/>
  <c r="AK232" i="16" s="1"/>
  <c r="N232" i="16"/>
  <c r="M232" i="16" s="1"/>
  <c r="E472" i="16"/>
  <c r="AK99" i="16"/>
  <c r="V120" i="16"/>
  <c r="V118" i="16"/>
  <c r="V116" i="16"/>
  <c r="V114" i="16"/>
  <c r="V99" i="16"/>
  <c r="V122" i="16"/>
  <c r="U107" i="16"/>
  <c r="V107" i="16" s="1"/>
  <c r="V106" i="16"/>
  <c r="V104" i="16"/>
  <c r="V119" i="16"/>
  <c r="V117" i="16"/>
  <c r="V115" i="16"/>
  <c r="U110" i="16"/>
  <c r="V110" i="16" s="1"/>
  <c r="V105" i="16"/>
  <c r="V123" i="16"/>
  <c r="V121" i="16"/>
  <c r="M99" i="16"/>
  <c r="AO157" i="16"/>
  <c r="Q157" i="16"/>
  <c r="AI157" i="16"/>
  <c r="AN30" i="16"/>
  <c r="W287" i="16"/>
  <c r="H287" i="16"/>
  <c r="G287" i="16" s="1"/>
  <c r="G267" i="16"/>
  <c r="AF252" i="16"/>
  <c r="E330" i="16"/>
  <c r="G396" i="16"/>
  <c r="H398" i="16"/>
  <c r="E348" i="16"/>
  <c r="AL352" i="16"/>
  <c r="V309" i="16"/>
  <c r="U314" i="16"/>
  <c r="AL398" i="16"/>
  <c r="AK396" i="16"/>
  <c r="AC350" i="16"/>
  <c r="H350" i="16"/>
  <c r="G350" i="16" s="1"/>
  <c r="G330" i="16"/>
  <c r="AK330" i="16"/>
  <c r="T287" i="16"/>
  <c r="S287" i="16" s="1"/>
  <c r="J188" i="16"/>
  <c r="J196" i="16"/>
  <c r="K197" i="16" s="1"/>
  <c r="AK348" i="16"/>
  <c r="L314" i="16"/>
  <c r="M309" i="16"/>
  <c r="AF232" i="16"/>
  <c r="E212" i="16"/>
  <c r="AC188" i="16"/>
  <c r="AC196" i="16"/>
  <c r="M196" i="16"/>
  <c r="N197" i="16" s="1"/>
  <c r="M188" i="16"/>
  <c r="AF350" i="16"/>
  <c r="AE350" i="16" s="1"/>
  <c r="X314" i="16"/>
  <c r="Y309" i="16"/>
  <c r="E44" i="16"/>
  <c r="C34" i="16"/>
  <c r="Q232" i="16"/>
  <c r="N157" i="16"/>
  <c r="M157" i="16" s="1"/>
  <c r="M124" i="16"/>
  <c r="E416" i="16"/>
  <c r="E423" i="16"/>
  <c r="AH57" i="16"/>
  <c r="T77" i="16"/>
  <c r="S44" i="16"/>
  <c r="J411" i="16"/>
  <c r="H450" i="16"/>
  <c r="K77" i="16"/>
  <c r="J77" i="16" s="1"/>
  <c r="J44" i="16"/>
  <c r="J412" i="16"/>
  <c r="AB120" i="16"/>
  <c r="AB118" i="16"/>
  <c r="AB116" i="16"/>
  <c r="AB114" i="16"/>
  <c r="AA110" i="16"/>
  <c r="AB123" i="16"/>
  <c r="AB121" i="16"/>
  <c r="AB106" i="16"/>
  <c r="AB104" i="16"/>
  <c r="AB119" i="16"/>
  <c r="AB117" i="16"/>
  <c r="AB115" i="16"/>
  <c r="AB99" i="16"/>
  <c r="AA107" i="16"/>
  <c r="AB107" i="16" s="1"/>
  <c r="AB105" i="16"/>
  <c r="AB122" i="16"/>
  <c r="AH75" i="16"/>
  <c r="AH309" i="16"/>
  <c r="AG314" i="16"/>
  <c r="S304" i="16"/>
  <c r="AH232" i="16"/>
  <c r="J232" i="16"/>
  <c r="Y212" i="16"/>
  <c r="AF196" i="16"/>
  <c r="AF188" i="16"/>
  <c r="AB188" i="16"/>
  <c r="AB196" i="16"/>
  <c r="E178" i="16"/>
  <c r="AK155" i="16"/>
  <c r="H479" i="16"/>
  <c r="V409" i="16"/>
  <c r="AK35" i="16"/>
  <c r="AK40" i="16"/>
  <c r="AK27" i="16"/>
  <c r="AK137" i="16"/>
  <c r="W157" i="16"/>
  <c r="K406" i="16"/>
  <c r="AH30" i="16"/>
  <c r="C16" i="16"/>
  <c r="AE30" i="16" l="1"/>
  <c r="G157" i="16"/>
  <c r="G155" i="16"/>
  <c r="D75" i="16"/>
  <c r="H406" i="16"/>
  <c r="F464" i="16" s="1"/>
  <c r="AN44" i="16"/>
  <c r="AN75" i="16"/>
  <c r="G232" i="16"/>
  <c r="AN77" i="16"/>
  <c r="AE35" i="16"/>
  <c r="AE40" i="16"/>
  <c r="Q466" i="16"/>
  <c r="AE27" i="16"/>
  <c r="AF167" i="16"/>
  <c r="D57" i="16"/>
  <c r="C35" i="16"/>
  <c r="D117" i="16"/>
  <c r="G212" i="16"/>
  <c r="G230" i="16"/>
  <c r="AB155" i="16"/>
  <c r="AB137" i="16"/>
  <c r="G34" i="16"/>
  <c r="G27" i="16"/>
  <c r="E479" i="16"/>
  <c r="AC466" i="16"/>
  <c r="W234" i="16"/>
  <c r="G40" i="16"/>
  <c r="AB110" i="16"/>
  <c r="Q88" i="16"/>
  <c r="D104" i="16"/>
  <c r="D116" i="16"/>
  <c r="G110" i="16"/>
  <c r="N289" i="16"/>
  <c r="AL234" i="16"/>
  <c r="E418" i="16"/>
  <c r="W466" i="16"/>
  <c r="K466" i="16"/>
  <c r="I466" i="16" s="1"/>
  <c r="AF466" i="16"/>
  <c r="C107" i="16"/>
  <c r="D107" i="16" s="1"/>
  <c r="D119" i="16"/>
  <c r="D106" i="16"/>
  <c r="D118" i="16"/>
  <c r="D414" i="16"/>
  <c r="U418" i="16"/>
  <c r="K289" i="16"/>
  <c r="V44" i="16"/>
  <c r="D105" i="16"/>
  <c r="D121" i="16"/>
  <c r="C110" i="16"/>
  <c r="D120" i="16"/>
  <c r="V57" i="16"/>
  <c r="V30" i="16"/>
  <c r="AB157" i="16"/>
  <c r="AL466" i="16"/>
  <c r="P44" i="16"/>
  <c r="V77" i="16"/>
  <c r="D115" i="16"/>
  <c r="D123" i="16"/>
  <c r="D114" i="16"/>
  <c r="V75" i="16"/>
  <c r="AG418" i="16"/>
  <c r="AB44" i="16"/>
  <c r="AB30" i="16"/>
  <c r="AB75" i="16"/>
  <c r="P30" i="16"/>
  <c r="AO466" i="16"/>
  <c r="P232" i="16"/>
  <c r="G124" i="16"/>
  <c r="E157" i="16"/>
  <c r="E432" i="16"/>
  <c r="N406" i="16"/>
  <c r="L418" i="16" s="1"/>
  <c r="AO406" i="16"/>
  <c r="AM479" i="16" s="1"/>
  <c r="M44" i="16"/>
  <c r="AE36" i="16"/>
  <c r="AE37" i="16"/>
  <c r="AE39" i="16"/>
  <c r="M57" i="16"/>
  <c r="AE38" i="16"/>
  <c r="M75" i="16"/>
  <c r="N466" i="16"/>
  <c r="AI466" i="16"/>
  <c r="AG466" i="16" s="1"/>
  <c r="W352" i="16"/>
  <c r="T466" i="16"/>
  <c r="H352" i="16"/>
  <c r="Y44" i="16"/>
  <c r="P38" i="16"/>
  <c r="P40" i="16"/>
  <c r="P37" i="16"/>
  <c r="P27" i="16"/>
  <c r="P36" i="16"/>
  <c r="P35" i="16"/>
  <c r="P34" i="16"/>
  <c r="P39" i="16"/>
  <c r="AO352" i="16"/>
  <c r="AF289" i="16"/>
  <c r="AG432" i="16"/>
  <c r="AC167" i="16"/>
  <c r="Y75" i="16"/>
  <c r="AK44" i="16"/>
  <c r="Z406" i="16"/>
  <c r="Z466" i="16"/>
  <c r="Y57" i="16"/>
  <c r="Y137" i="16"/>
  <c r="Y124" i="16"/>
  <c r="G38" i="16"/>
  <c r="G37" i="16"/>
  <c r="G36" i="16"/>
  <c r="G39" i="16"/>
  <c r="Z289" i="16"/>
  <c r="E450" i="16"/>
  <c r="Y110" i="16"/>
  <c r="D348" i="16"/>
  <c r="AK57" i="16"/>
  <c r="AL406" i="16"/>
  <c r="AJ466" i="16" s="1"/>
  <c r="K88" i="16"/>
  <c r="U466" i="16"/>
  <c r="Q406" i="16"/>
  <c r="O479" i="16" s="1"/>
  <c r="P77" i="16"/>
  <c r="AN230" i="16"/>
  <c r="AK75" i="16"/>
  <c r="K481" i="16"/>
  <c r="K487" i="16" s="1"/>
  <c r="AL167" i="16"/>
  <c r="T352" i="16"/>
  <c r="P75" i="16"/>
  <c r="AF234" i="16"/>
  <c r="AF197" i="16"/>
  <c r="AF406" i="16"/>
  <c r="AE212" i="16"/>
  <c r="S77" i="16"/>
  <c r="T88" i="16"/>
  <c r="E232" i="16"/>
  <c r="V314" i="16"/>
  <c r="W405" i="16"/>
  <c r="E110" i="16"/>
  <c r="C114" i="16"/>
  <c r="Y77" i="16"/>
  <c r="Z88" i="16"/>
  <c r="Q234" i="16"/>
  <c r="Q197" i="16"/>
  <c r="P212" i="16"/>
  <c r="AD314" i="16"/>
  <c r="AE309" i="16"/>
  <c r="O314" i="16"/>
  <c r="P309" i="16"/>
  <c r="I464" i="16"/>
  <c r="C408" i="16"/>
  <c r="N167" i="16"/>
  <c r="S157" i="16"/>
  <c r="T167" i="16"/>
  <c r="N234" i="16"/>
  <c r="P350" i="16"/>
  <c r="Q352" i="16"/>
  <c r="AE230" i="16"/>
  <c r="AI88" i="16"/>
  <c r="W88" i="16"/>
  <c r="AO234" i="16"/>
  <c r="AO197" i="16"/>
  <c r="AN212" i="16"/>
  <c r="AG450" i="16"/>
  <c r="AH314" i="16"/>
  <c r="AI405" i="16"/>
  <c r="AE232" i="16"/>
  <c r="M314" i="16"/>
  <c r="N405" i="16"/>
  <c r="AB350" i="16"/>
  <c r="AC352" i="16"/>
  <c r="P157" i="16"/>
  <c r="Q167" i="16"/>
  <c r="P287" i="16"/>
  <c r="Q289" i="16"/>
  <c r="D410" i="16"/>
  <c r="E252" i="16"/>
  <c r="AF352" i="16"/>
  <c r="J314" i="16"/>
  <c r="K405" i="16"/>
  <c r="AM314" i="16"/>
  <c r="AN309" i="16"/>
  <c r="D411" i="16"/>
  <c r="D408" i="16"/>
  <c r="AE77" i="16"/>
  <c r="AF88" i="16"/>
  <c r="H289" i="16"/>
  <c r="S232" i="16"/>
  <c r="AG464" i="16"/>
  <c r="W481" i="16"/>
  <c r="U464" i="16"/>
  <c r="AB287" i="16"/>
  <c r="AC289" i="16"/>
  <c r="AJ314" i="16"/>
  <c r="AK309" i="16"/>
  <c r="M77" i="16"/>
  <c r="N88" i="16"/>
  <c r="F450" i="16"/>
  <c r="Z405" i="16"/>
  <c r="Y314" i="16"/>
  <c r="AC234" i="16"/>
  <c r="AC197" i="16"/>
  <c r="AB212" i="16"/>
  <c r="AC406" i="16"/>
  <c r="AB230" i="16"/>
  <c r="E350" i="16"/>
  <c r="D330" i="16"/>
  <c r="AH157" i="16"/>
  <c r="AI167" i="16"/>
  <c r="AN157" i="16"/>
  <c r="AO167" i="16"/>
  <c r="AN287" i="16"/>
  <c r="AO289" i="16"/>
  <c r="H466" i="16"/>
  <c r="F466" i="16" s="1"/>
  <c r="Y157" i="16"/>
  <c r="Z167" i="16"/>
  <c r="AA314" i="16"/>
  <c r="AB309" i="16"/>
  <c r="J27" i="16"/>
  <c r="J34" i="16"/>
  <c r="J36" i="16"/>
  <c r="J38" i="16"/>
  <c r="J40" i="16"/>
  <c r="J37" i="16"/>
  <c r="J39" i="16"/>
  <c r="J35" i="16"/>
  <c r="E188" i="16"/>
  <c r="E196" i="16"/>
  <c r="D212" i="16" s="1"/>
  <c r="AI352" i="16"/>
  <c r="G314" i="16"/>
  <c r="H405" i="16"/>
  <c r="AO88" i="16"/>
  <c r="U450" i="16"/>
  <c r="P230" i="16"/>
  <c r="L450" i="16"/>
  <c r="U432" i="16"/>
  <c r="I479" i="16"/>
  <c r="D25" i="16"/>
  <c r="C30" i="16"/>
  <c r="D30" i="16" s="1"/>
  <c r="D26" i="16"/>
  <c r="D24" i="16"/>
  <c r="D16" i="16"/>
  <c r="C27" i="16"/>
  <c r="V157" i="16"/>
  <c r="W167" i="16"/>
  <c r="I418" i="16"/>
  <c r="E77" i="16"/>
  <c r="D44" i="16"/>
  <c r="V287" i="16"/>
  <c r="W289" i="16"/>
  <c r="AH287" i="16"/>
  <c r="AI289" i="16"/>
  <c r="D99" i="16"/>
  <c r="D188" i="16"/>
  <c r="D196" i="16"/>
  <c r="D304" i="16"/>
  <c r="C309" i="16"/>
  <c r="I432" i="16"/>
  <c r="T234" i="16"/>
  <c r="T197" i="16"/>
  <c r="S212" i="16"/>
  <c r="T406" i="16"/>
  <c r="AB77" i="16"/>
  <c r="AC88" i="16"/>
  <c r="G77" i="16"/>
  <c r="H88" i="16"/>
  <c r="E287" i="16"/>
  <c r="D287" i="16" s="1"/>
  <c r="D267" i="16"/>
  <c r="D396" i="16"/>
  <c r="E398" i="16"/>
  <c r="H234" i="16"/>
  <c r="H197" i="16"/>
  <c r="S314" i="16"/>
  <c r="T405" i="16"/>
  <c r="D409" i="16"/>
  <c r="C409" i="16"/>
  <c r="K167" i="16"/>
  <c r="D413" i="16"/>
  <c r="D412" i="16"/>
  <c r="AK77" i="16"/>
  <c r="AL88" i="16"/>
  <c r="T289" i="16"/>
  <c r="Z352" i="16"/>
  <c r="H167" i="16"/>
  <c r="I450" i="16"/>
  <c r="AB232" i="16"/>
  <c r="AM450" i="16" l="1"/>
  <c r="F479" i="16"/>
  <c r="F432" i="16"/>
  <c r="F418" i="16"/>
  <c r="AA466" i="16"/>
  <c r="AI481" i="16"/>
  <c r="D110" i="16"/>
  <c r="L466" i="16"/>
  <c r="L464" i="16"/>
  <c r="R466" i="16"/>
  <c r="L432" i="16"/>
  <c r="E466" i="16"/>
  <c r="AO481" i="16"/>
  <c r="AO487" i="16" s="1"/>
  <c r="J481" i="16"/>
  <c r="AJ450" i="16"/>
  <c r="Z481" i="16"/>
  <c r="Y481" i="16" s="1"/>
  <c r="O466" i="16"/>
  <c r="N481" i="16"/>
  <c r="N487" i="16" s="1"/>
  <c r="AM464" i="16"/>
  <c r="AM466" i="16"/>
  <c r="AM432" i="16"/>
  <c r="AM418" i="16"/>
  <c r="X466" i="16"/>
  <c r="AL481" i="16"/>
  <c r="AL487" i="16" s="1"/>
  <c r="L479" i="16"/>
  <c r="M481" i="16"/>
  <c r="D157" i="16"/>
  <c r="O464" i="16"/>
  <c r="Q481" i="16"/>
  <c r="Q487" i="16" s="1"/>
  <c r="O418" i="16"/>
  <c r="O450" i="16"/>
  <c r="X479" i="16"/>
  <c r="X464" i="16"/>
  <c r="X418" i="16"/>
  <c r="X450" i="16"/>
  <c r="O432" i="16"/>
  <c r="X432" i="16"/>
  <c r="AJ479" i="16"/>
  <c r="AJ418" i="16"/>
  <c r="AJ432" i="16"/>
  <c r="AJ464" i="16"/>
  <c r="AB314" i="16"/>
  <c r="AC405" i="16"/>
  <c r="AE314" i="16"/>
  <c r="AF405" i="16"/>
  <c r="E167" i="16"/>
  <c r="D137" i="16"/>
  <c r="E406" i="16"/>
  <c r="D155" i="16"/>
  <c r="D124" i="16"/>
  <c r="AF481" i="16"/>
  <c r="AD464" i="16"/>
  <c r="AD479" i="16"/>
  <c r="AD418" i="16"/>
  <c r="AD450" i="16"/>
  <c r="AD432" i="16"/>
  <c r="D350" i="16"/>
  <c r="E352" i="16"/>
  <c r="W487" i="16"/>
  <c r="V481" i="16"/>
  <c r="M487" i="16"/>
  <c r="N496" i="16"/>
  <c r="M496" i="16" s="1"/>
  <c r="T481" i="16"/>
  <c r="R464" i="16"/>
  <c r="R418" i="16"/>
  <c r="R432" i="16"/>
  <c r="R450" i="16"/>
  <c r="R479" i="16"/>
  <c r="C314" i="16"/>
  <c r="D314" i="16" s="1"/>
  <c r="D309" i="16"/>
  <c r="D27" i="16"/>
  <c r="D38" i="16"/>
  <c r="D36" i="16"/>
  <c r="D40" i="16"/>
  <c r="D35" i="16"/>
  <c r="D39" i="16"/>
  <c r="D37" i="16"/>
  <c r="D34" i="16"/>
  <c r="E234" i="16"/>
  <c r="E197" i="16"/>
  <c r="D230" i="16"/>
  <c r="AC481" i="16"/>
  <c r="AA464" i="16"/>
  <c r="AA450" i="16"/>
  <c r="AA418" i="16"/>
  <c r="AA432" i="16"/>
  <c r="AA479" i="16"/>
  <c r="AI487" i="16"/>
  <c r="AH481" i="16"/>
  <c r="AN314" i="16"/>
  <c r="AO405" i="16"/>
  <c r="AK314" i="16"/>
  <c r="AL405" i="16"/>
  <c r="D77" i="16"/>
  <c r="E88" i="16"/>
  <c r="K496" i="16"/>
  <c r="J496" i="16" s="1"/>
  <c r="J487" i="16"/>
  <c r="D418" i="16"/>
  <c r="E289" i="16"/>
  <c r="P314" i="16"/>
  <c r="Q405" i="16"/>
  <c r="AD466" i="16"/>
  <c r="D232" i="16"/>
  <c r="H481" i="16"/>
  <c r="Z487" i="16" l="1"/>
  <c r="AK481" i="16"/>
  <c r="C466" i="16"/>
  <c r="AN481" i="16"/>
  <c r="E405" i="16"/>
  <c r="P481" i="16"/>
  <c r="AO496" i="16"/>
  <c r="AN496" i="16" s="1"/>
  <c r="AN487" i="16"/>
  <c r="Q496" i="16"/>
  <c r="P496" i="16" s="1"/>
  <c r="P487" i="16"/>
  <c r="AC487" i="16"/>
  <c r="AB481" i="16"/>
  <c r="E481" i="16"/>
  <c r="C464" i="16"/>
  <c r="C479" i="16"/>
  <c r="C432" i="16"/>
  <c r="C450" i="16"/>
  <c r="C418" i="16"/>
  <c r="AI496" i="16"/>
  <c r="AH496" i="16" s="1"/>
  <c r="AH487" i="16"/>
  <c r="AK487" i="16"/>
  <c r="AL496" i="16"/>
  <c r="AK496" i="16" s="1"/>
  <c r="H487" i="16"/>
  <c r="G481" i="16"/>
  <c r="Y487" i="16"/>
  <c r="Z496" i="16"/>
  <c r="Y496" i="16" s="1"/>
  <c r="T487" i="16"/>
  <c r="S481" i="16"/>
  <c r="W496" i="16"/>
  <c r="V496" i="16" s="1"/>
  <c r="V487" i="16"/>
  <c r="AF487" i="16"/>
  <c r="AE481" i="16"/>
  <c r="E487" i="16" l="1"/>
  <c r="D481" i="16"/>
  <c r="AE487" i="16"/>
  <c r="AF496" i="16"/>
  <c r="AE496" i="16" s="1"/>
  <c r="S487" i="16"/>
  <c r="T496" i="16"/>
  <c r="S496" i="16" s="1"/>
  <c r="G487" i="16"/>
  <c r="H496" i="16"/>
  <c r="G496" i="16" s="1"/>
  <c r="AC496" i="16"/>
  <c r="AB496" i="16" s="1"/>
  <c r="AB487" i="16"/>
  <c r="E496" i="16" l="1"/>
  <c r="D496" i="16" s="1"/>
  <c r="D487" i="16"/>
  <c r="W8" i="3" l="1"/>
  <c r="L696" i="5" l="1"/>
  <c r="X696" i="5" s="1"/>
  <c r="B1" i="16"/>
  <c r="A226" i="17"/>
  <c r="B68" i="17"/>
  <c r="B82" i="17"/>
  <c r="B82" i="3"/>
  <c r="B68" i="3"/>
  <c r="A336" i="17" l="1"/>
  <c r="A336" i="3"/>
  <c r="A272" i="17"/>
  <c r="A272" i="3"/>
  <c r="A216" i="17"/>
  <c r="A216" i="3"/>
  <c r="B1" i="19" l="1"/>
  <c r="A474" i="17" l="1"/>
  <c r="A475" i="17"/>
  <c r="A476" i="17"/>
  <c r="A477" i="17"/>
  <c r="A478" i="17"/>
  <c r="A479" i="17"/>
  <c r="A480" i="17"/>
  <c r="A481" i="17"/>
  <c r="A482" i="17"/>
  <c r="A483" i="17"/>
  <c r="A485" i="17"/>
  <c r="A486" i="17"/>
  <c r="A487" i="17"/>
  <c r="A488" i="17"/>
  <c r="A489" i="17"/>
  <c r="A490" i="17"/>
  <c r="A491" i="17"/>
  <c r="A492" i="17"/>
  <c r="A493" i="17"/>
  <c r="A494" i="17"/>
  <c r="A495" i="17"/>
  <c r="A496" i="17"/>
  <c r="A497" i="17"/>
  <c r="A474" i="3"/>
  <c r="A475" i="3"/>
  <c r="A476" i="3"/>
  <c r="A477" i="3"/>
  <c r="A478" i="3"/>
  <c r="A479" i="3"/>
  <c r="A480" i="3"/>
  <c r="A481" i="3"/>
  <c r="A482" i="3"/>
  <c r="A483" i="3"/>
  <c r="A485" i="3"/>
  <c r="A486" i="3"/>
  <c r="A487" i="3"/>
  <c r="A488" i="3"/>
  <c r="A489" i="3"/>
  <c r="A490" i="3"/>
  <c r="A491" i="3"/>
  <c r="A492" i="3"/>
  <c r="A493" i="3"/>
  <c r="A494" i="3"/>
  <c r="A495" i="3"/>
  <c r="A496" i="3"/>
  <c r="A497" i="3"/>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40" i="17"/>
  <c r="A441" i="17"/>
  <c r="A442" i="17"/>
  <c r="A443" i="17"/>
  <c r="A444" i="17"/>
  <c r="A445" i="17"/>
  <c r="A446" i="17"/>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40" i="3"/>
  <c r="A441" i="3"/>
  <c r="A442" i="3"/>
  <c r="A443" i="3"/>
  <c r="A444" i="3"/>
  <c r="A445" i="3"/>
  <c r="A446" i="3"/>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347" i="17"/>
  <c r="A347" i="3"/>
  <c r="A345" i="17"/>
  <c r="A346" i="17"/>
  <c r="A345" i="3"/>
  <c r="A346" i="3"/>
  <c r="A343" i="17"/>
  <c r="A344" i="17"/>
  <c r="A343" i="3"/>
  <c r="A344" i="3"/>
  <c r="A321" i="17"/>
  <c r="A322" i="17"/>
  <c r="A323" i="17"/>
  <c r="A321" i="3"/>
  <c r="A322" i="3"/>
  <c r="A323" i="3"/>
  <c r="A299" i="17"/>
  <c r="A300" i="17"/>
  <c r="A299" i="3"/>
  <c r="A300" i="3"/>
  <c r="A282" i="17"/>
  <c r="A282" i="3"/>
  <c r="A158" i="17" l="1"/>
  <c r="A159" i="17"/>
  <c r="A160" i="17"/>
  <c r="A161" i="17"/>
  <c r="A158" i="3"/>
  <c r="A159" i="3"/>
  <c r="A160" i="3"/>
  <c r="A161" i="3"/>
  <c r="A149" i="17"/>
  <c r="A150" i="17"/>
  <c r="A151" i="17"/>
  <c r="A149" i="3"/>
  <c r="A150" i="3"/>
  <c r="A151" i="3"/>
  <c r="A148" i="17"/>
  <c r="A148" i="3"/>
  <c r="A126" i="17"/>
  <c r="A127" i="17"/>
  <c r="A128" i="17"/>
  <c r="A126" i="3"/>
  <c r="A127" i="3"/>
  <c r="A128" i="3"/>
  <c r="A117" i="17"/>
  <c r="A118" i="17"/>
  <c r="A119" i="17"/>
  <c r="A120" i="17"/>
  <c r="A117" i="3"/>
  <c r="A118" i="3"/>
  <c r="A119" i="3"/>
  <c r="A120" i="3"/>
  <c r="B79" i="17" l="1"/>
  <c r="B80" i="17"/>
  <c r="B81" i="17"/>
  <c r="B79" i="3"/>
  <c r="B80" i="3"/>
  <c r="B81" i="3"/>
  <c r="B71" i="17"/>
  <c r="B71" i="3"/>
  <c r="B69" i="17"/>
  <c r="A69" i="17" s="1"/>
  <c r="B69" i="3"/>
  <c r="A69" i="3" s="1"/>
  <c r="F69" i="3" s="1"/>
  <c r="A68" i="17"/>
  <c r="A68" i="3"/>
  <c r="F68" i="3" s="1"/>
  <c r="B67" i="17"/>
  <c r="A67" i="17" s="1"/>
  <c r="B67" i="3"/>
  <c r="B46" i="17"/>
  <c r="A46" i="17" s="1"/>
  <c r="B47" i="17"/>
  <c r="A47" i="17" s="1"/>
  <c r="B48" i="17"/>
  <c r="A48" i="17" s="1"/>
  <c r="B46" i="3"/>
  <c r="A46" i="3" s="1"/>
  <c r="F46" i="3" s="1"/>
  <c r="B47" i="3"/>
  <c r="A47" i="3" s="1"/>
  <c r="F47" i="3" s="1"/>
  <c r="B48" i="3"/>
  <c r="A48" i="3" s="1"/>
  <c r="F48" i="3" s="1"/>
  <c r="B37" i="17"/>
  <c r="A37" i="17" s="1"/>
  <c r="B38" i="17"/>
  <c r="A38" i="17" s="1"/>
  <c r="B39" i="17"/>
  <c r="A39" i="17" s="1"/>
  <c r="B37" i="3"/>
  <c r="A37" i="3" s="1"/>
  <c r="F37" i="3" s="1"/>
  <c r="E37" i="3" s="1"/>
  <c r="B38" i="3"/>
  <c r="A38" i="3" s="1"/>
  <c r="F38" i="3" s="1"/>
  <c r="E38" i="3" s="1"/>
  <c r="B39" i="3"/>
  <c r="A39" i="3" s="1"/>
  <c r="F39" i="3" s="1"/>
  <c r="E39" i="3" s="1"/>
  <c r="B7" i="17"/>
  <c r="A7" i="17" s="1"/>
  <c r="B8" i="17"/>
  <c r="A8" i="17" s="1"/>
  <c r="B9" i="17"/>
  <c r="A9" i="17" s="1"/>
  <c r="B10" i="17"/>
  <c r="A10" i="17" s="1"/>
  <c r="B11" i="17"/>
  <c r="A11" i="17" s="1"/>
  <c r="B7" i="3"/>
  <c r="A7" i="3" s="1"/>
  <c r="B8" i="3"/>
  <c r="A8" i="3" s="1"/>
  <c r="B9" i="3"/>
  <c r="A9" i="3" s="1"/>
  <c r="B10" i="3"/>
  <c r="A10" i="3" s="1"/>
  <c r="B11" i="3"/>
  <c r="A11" i="3" s="1"/>
  <c r="A67" i="3" l="1"/>
  <c r="F67" i="3" s="1"/>
  <c r="A79" i="17"/>
  <c r="A81" i="3"/>
  <c r="F81" i="3" s="1"/>
  <c r="A80" i="3"/>
  <c r="F80" i="3" s="1"/>
  <c r="A79" i="3"/>
  <c r="F79" i="3" s="1"/>
  <c r="A81" i="17"/>
  <c r="A80" i="17"/>
  <c r="H97" i="17" l="1"/>
  <c r="A101" i="16"/>
  <c r="B72" i="17" l="1"/>
  <c r="B73" i="17"/>
  <c r="B74" i="17"/>
  <c r="B75" i="17"/>
  <c r="B76" i="17"/>
  <c r="B77" i="17"/>
  <c r="B78" i="17"/>
  <c r="B83" i="17"/>
  <c r="A498" i="17" l="1"/>
  <c r="AO481" i="17"/>
  <c r="AN481" i="17"/>
  <c r="AO466" i="17"/>
  <c r="AN466" i="17"/>
  <c r="AH466" i="17"/>
  <c r="A413" i="17"/>
  <c r="A412" i="17"/>
  <c r="A411" i="17"/>
  <c r="A410" i="17"/>
  <c r="A409" i="17"/>
  <c r="A408" i="17"/>
  <c r="A407" i="17"/>
  <c r="A406" i="17"/>
  <c r="A405" i="17"/>
  <c r="A404"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5" i="16"/>
  <c r="A494" i="16"/>
  <c r="A493" i="16"/>
  <c r="A492" i="16"/>
  <c r="A491" i="16"/>
  <c r="A490" i="16"/>
  <c r="A489"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B75" i="3"/>
  <c r="Q191" i="3"/>
  <c r="P181" i="3"/>
  <c r="A404" i="3"/>
  <c r="A405" i="3"/>
  <c r="A406" i="3"/>
  <c r="A407" i="3"/>
  <c r="A408" i="3"/>
  <c r="A409" i="3"/>
  <c r="A410" i="3"/>
  <c r="A411" i="3"/>
  <c r="A412" i="3"/>
  <c r="A413" i="3"/>
  <c r="A498" i="3"/>
  <c r="A403" i="3"/>
  <c r="I79" i="3" l="1"/>
  <c r="I68" i="3"/>
  <c r="I47" i="3"/>
  <c r="I38" i="3"/>
  <c r="H38" i="3" s="1"/>
  <c r="I46" i="3"/>
  <c r="I67" i="3"/>
  <c r="I37" i="3"/>
  <c r="H37" i="3" s="1"/>
  <c r="I81" i="3"/>
  <c r="I80" i="3"/>
  <c r="I69" i="3"/>
  <c r="I48" i="3"/>
  <c r="I39" i="3"/>
  <c r="H39" i="3" s="1"/>
  <c r="Z439" i="17"/>
  <c r="AC419" i="3"/>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N69" i="3"/>
  <c r="AC490" i="3"/>
  <c r="AC491" i="3"/>
  <c r="AC456" i="3"/>
  <c r="AC457" i="3"/>
  <c r="AC458" i="3"/>
  <c r="AC455" i="3"/>
  <c r="AC454" i="3"/>
  <c r="AC459" i="3"/>
  <c r="AC460" i="3"/>
  <c r="AC452" i="3"/>
  <c r="AC453" i="3"/>
  <c r="H300" i="3" l="1"/>
  <c r="AI493" i="3"/>
  <c r="AC468" i="3"/>
  <c r="A393" i="3" l="1"/>
  <c r="I393" i="3" s="1"/>
  <c r="A392" i="3"/>
  <c r="I392" i="3" s="1"/>
  <c r="A391" i="3"/>
  <c r="I391" i="3" s="1"/>
  <c r="A390" i="3"/>
  <c r="I390" i="3" s="1"/>
  <c r="A389" i="3"/>
  <c r="I389" i="3" s="1"/>
  <c r="A388" i="3"/>
  <c r="I388" i="3" s="1"/>
  <c r="A387" i="3"/>
  <c r="I387" i="3" s="1"/>
  <c r="A386" i="3"/>
  <c r="I386" i="3" s="1"/>
  <c r="A385" i="3"/>
  <c r="I385" i="3" s="1"/>
  <c r="A384" i="3"/>
  <c r="I384" i="3" s="1"/>
  <c r="A383" i="3"/>
  <c r="I383" i="3" s="1"/>
  <c r="A382" i="3"/>
  <c r="I382" i="3" s="1"/>
  <c r="A381" i="3"/>
  <c r="I381" i="3" s="1"/>
  <c r="A380" i="3"/>
  <c r="I380" i="3" s="1"/>
  <c r="A379" i="3"/>
  <c r="I379" i="3" s="1"/>
  <c r="A378" i="3"/>
  <c r="I378" i="3" s="1"/>
  <c r="A377" i="3"/>
  <c r="I377" i="3" s="1"/>
  <c r="A376" i="3"/>
  <c r="A375" i="3"/>
  <c r="I375" i="3" s="1"/>
  <c r="A374" i="3"/>
  <c r="I374" i="3" s="1"/>
  <c r="A373" i="3"/>
  <c r="I373" i="3" s="1"/>
  <c r="A372" i="3"/>
  <c r="I372" i="3" s="1"/>
  <c r="A371" i="3"/>
  <c r="I371" i="3" s="1"/>
  <c r="A370" i="3"/>
  <c r="I370" i="3" s="1"/>
  <c r="A369" i="3"/>
  <c r="I369" i="3" s="1"/>
  <c r="A368" i="3"/>
  <c r="I368" i="3" s="1"/>
  <c r="A367" i="3"/>
  <c r="I367" i="3" s="1"/>
  <c r="A366" i="3"/>
  <c r="I366" i="3" s="1"/>
  <c r="A365" i="3"/>
  <c r="I365" i="3" s="1"/>
  <c r="A364" i="3"/>
  <c r="I364" i="3" s="1"/>
  <c r="A363" i="3"/>
  <c r="A362" i="3"/>
  <c r="A361" i="3"/>
  <c r="A360" i="3"/>
  <c r="A359" i="3"/>
  <c r="A358" i="3"/>
  <c r="A294" i="3"/>
  <c r="A295" i="3"/>
  <c r="A296" i="3"/>
  <c r="A297" i="3"/>
  <c r="A298" i="3"/>
  <c r="A301" i="3"/>
  <c r="A302" i="3"/>
  <c r="A303" i="3"/>
  <c r="A304" i="3"/>
  <c r="A305" i="3"/>
  <c r="A306" i="3"/>
  <c r="A307" i="3"/>
  <c r="A308" i="3"/>
  <c r="A309" i="3"/>
  <c r="A310" i="3"/>
  <c r="A311" i="3"/>
  <c r="A312" i="3"/>
  <c r="A313" i="3"/>
  <c r="A314" i="3"/>
  <c r="A315" i="3"/>
  <c r="A316" i="3"/>
  <c r="A317" i="3"/>
  <c r="I317" i="3" s="1"/>
  <c r="A318" i="3"/>
  <c r="I318" i="3" s="1"/>
  <c r="A319" i="3"/>
  <c r="I319" i="3" s="1"/>
  <c r="D59" i="19" s="1"/>
  <c r="A320" i="3"/>
  <c r="I320" i="3" s="1"/>
  <c r="A324" i="3"/>
  <c r="I324" i="3" s="1"/>
  <c r="A325" i="3"/>
  <c r="I325" i="3" s="1"/>
  <c r="A326" i="3"/>
  <c r="I326" i="3" s="1"/>
  <c r="A327" i="3"/>
  <c r="I327" i="3" s="1"/>
  <c r="A328" i="3"/>
  <c r="I328" i="3" s="1"/>
  <c r="A329" i="3"/>
  <c r="A330" i="3"/>
  <c r="I330" i="3" s="1"/>
  <c r="A331" i="3"/>
  <c r="I331" i="3" s="1"/>
  <c r="A332" i="3"/>
  <c r="I332" i="3" s="1"/>
  <c r="A333" i="3"/>
  <c r="I333" i="3" s="1"/>
  <c r="A334" i="3"/>
  <c r="I334" i="3" s="1"/>
  <c r="A335" i="3"/>
  <c r="I335" i="3" s="1"/>
  <c r="A337" i="3"/>
  <c r="I337" i="3" s="1"/>
  <c r="A338" i="3"/>
  <c r="I338" i="3" s="1"/>
  <c r="A339" i="3"/>
  <c r="I339" i="3" s="1"/>
  <c r="A340" i="3"/>
  <c r="I340" i="3" s="1"/>
  <c r="A341" i="3"/>
  <c r="I341" i="3" s="1"/>
  <c r="A342" i="3"/>
  <c r="I342" i="3" s="1"/>
  <c r="A293" i="3"/>
  <c r="A239" i="3"/>
  <c r="A240" i="3"/>
  <c r="A241" i="3"/>
  <c r="A242" i="3"/>
  <c r="A243" i="3"/>
  <c r="A244" i="3"/>
  <c r="A245" i="3"/>
  <c r="A246" i="3"/>
  <c r="A247" i="3"/>
  <c r="A248" i="3"/>
  <c r="A249" i="3"/>
  <c r="A250" i="3"/>
  <c r="A251" i="3"/>
  <c r="A252" i="3"/>
  <c r="A253" i="3"/>
  <c r="I253" i="3" s="1"/>
  <c r="A254" i="3"/>
  <c r="I254" i="3" s="1"/>
  <c r="A255" i="3"/>
  <c r="I255" i="3" s="1"/>
  <c r="A256" i="3"/>
  <c r="I256" i="3" s="1"/>
  <c r="A257" i="3"/>
  <c r="I257" i="3" s="1"/>
  <c r="A258" i="3"/>
  <c r="I258" i="3" s="1"/>
  <c r="A259" i="3"/>
  <c r="I259" i="3" s="1"/>
  <c r="A260" i="3"/>
  <c r="I260" i="3" s="1"/>
  <c r="A261" i="3"/>
  <c r="I261" i="3" s="1"/>
  <c r="A262" i="3"/>
  <c r="I262" i="3" s="1"/>
  <c r="A263" i="3"/>
  <c r="I263" i="3" s="1"/>
  <c r="A264" i="3"/>
  <c r="I264" i="3" s="1"/>
  <c r="A265" i="3"/>
  <c r="A266" i="3"/>
  <c r="I266" i="3" s="1"/>
  <c r="A267" i="3"/>
  <c r="I267" i="3" s="1"/>
  <c r="A268" i="3"/>
  <c r="I268" i="3" s="1"/>
  <c r="A269" i="3"/>
  <c r="I269" i="3" s="1"/>
  <c r="A270" i="3"/>
  <c r="I270" i="3" s="1"/>
  <c r="A271" i="3"/>
  <c r="I271" i="3" s="1"/>
  <c r="A273" i="3"/>
  <c r="I273" i="3" s="1"/>
  <c r="A274" i="3"/>
  <c r="I274" i="3" s="1"/>
  <c r="A275" i="3"/>
  <c r="I275" i="3" s="1"/>
  <c r="A276" i="3"/>
  <c r="I276" i="3" s="1"/>
  <c r="A277" i="3"/>
  <c r="I277" i="3" s="1"/>
  <c r="A278" i="3"/>
  <c r="I278" i="3" s="1"/>
  <c r="A279" i="3"/>
  <c r="I279" i="3" s="1"/>
  <c r="A280" i="3"/>
  <c r="I280" i="3" s="1"/>
  <c r="A281" i="3"/>
  <c r="I281" i="3" s="1"/>
  <c r="A283" i="3"/>
  <c r="I283" i="3" s="1"/>
  <c r="A238" i="3"/>
  <c r="A171" i="3"/>
  <c r="A172" i="3"/>
  <c r="A173" i="3"/>
  <c r="A174" i="3"/>
  <c r="A175" i="3"/>
  <c r="A176" i="3"/>
  <c r="A177" i="3"/>
  <c r="A178" i="3"/>
  <c r="A179" i="3"/>
  <c r="A180" i="3"/>
  <c r="A181" i="3"/>
  <c r="A182" i="3"/>
  <c r="A183" i="3"/>
  <c r="I183" i="3" s="1"/>
  <c r="D42" i="19" s="1"/>
  <c r="A184" i="3"/>
  <c r="A185" i="3"/>
  <c r="A186" i="3"/>
  <c r="A187" i="3"/>
  <c r="A188" i="3"/>
  <c r="A189" i="3"/>
  <c r="A190" i="3"/>
  <c r="A191" i="3"/>
  <c r="A192" i="3"/>
  <c r="A193" i="3"/>
  <c r="A194" i="3"/>
  <c r="A195" i="3"/>
  <c r="A196" i="3"/>
  <c r="A197" i="3"/>
  <c r="I197" i="3" s="1"/>
  <c r="A198" i="3"/>
  <c r="I198" i="3" s="1"/>
  <c r="A199" i="3"/>
  <c r="I199" i="3" s="1"/>
  <c r="A200" i="3"/>
  <c r="I200" i="3" s="1"/>
  <c r="A201" i="3"/>
  <c r="I201" i="3" s="1"/>
  <c r="A202" i="3"/>
  <c r="I202" i="3" s="1"/>
  <c r="A203" i="3"/>
  <c r="A204" i="3"/>
  <c r="A205" i="3"/>
  <c r="I205" i="3" s="1"/>
  <c r="A206" i="3"/>
  <c r="I206" i="3" s="1"/>
  <c r="A207" i="3"/>
  <c r="I207" i="3" s="1"/>
  <c r="A208" i="3"/>
  <c r="I208" i="3" s="1"/>
  <c r="A209" i="3"/>
  <c r="A210" i="3"/>
  <c r="I210" i="3" s="1"/>
  <c r="A211" i="3"/>
  <c r="I211" i="3" s="1"/>
  <c r="A212" i="3"/>
  <c r="I212" i="3" s="1"/>
  <c r="D47" i="19" s="1"/>
  <c r="A213" i="3"/>
  <c r="I213" i="3" s="1"/>
  <c r="A214" i="3"/>
  <c r="I214" i="3" s="1"/>
  <c r="A215" i="3"/>
  <c r="I215" i="3" s="1"/>
  <c r="A217" i="3"/>
  <c r="I217" i="3" s="1"/>
  <c r="A218" i="3"/>
  <c r="I218" i="3" s="1"/>
  <c r="A219" i="3"/>
  <c r="I219" i="3" s="1"/>
  <c r="A220" i="3"/>
  <c r="A221" i="3"/>
  <c r="I221" i="3" s="1"/>
  <c r="A222" i="3"/>
  <c r="I222" i="3" s="1"/>
  <c r="A223" i="3"/>
  <c r="I223" i="3" s="1"/>
  <c r="A224" i="3"/>
  <c r="I224" i="3" s="1"/>
  <c r="A225" i="3"/>
  <c r="I225" i="3" s="1"/>
  <c r="A227" i="3"/>
  <c r="I227" i="3" s="1"/>
  <c r="A170" i="3"/>
  <c r="A157" i="3"/>
  <c r="I157" i="3" s="1"/>
  <c r="A156" i="3"/>
  <c r="I156" i="3" s="1"/>
  <c r="A155" i="3"/>
  <c r="I155" i="3" s="1"/>
  <c r="A154" i="3"/>
  <c r="A153" i="3"/>
  <c r="A152" i="3"/>
  <c r="A147" i="3"/>
  <c r="I147" i="3" s="1"/>
  <c r="A146" i="3"/>
  <c r="I146" i="3" s="1"/>
  <c r="A145" i="3"/>
  <c r="I145" i="3" s="1"/>
  <c r="A144" i="3"/>
  <c r="I144" i="3" s="1"/>
  <c r="A143" i="3"/>
  <c r="I143" i="3" s="1"/>
  <c r="A142" i="3"/>
  <c r="I142" i="3" s="1"/>
  <c r="A141" i="3"/>
  <c r="I141" i="3" s="1"/>
  <c r="A140" i="3"/>
  <c r="I140" i="3" s="1"/>
  <c r="A139" i="3"/>
  <c r="I139" i="3" s="1"/>
  <c r="A138" i="3"/>
  <c r="I138" i="3" s="1"/>
  <c r="A137" i="3"/>
  <c r="I137" i="3" s="1"/>
  <c r="A136" i="3"/>
  <c r="I136" i="3" s="1"/>
  <c r="A135" i="3"/>
  <c r="I135" i="3" s="1"/>
  <c r="A134" i="3"/>
  <c r="A133" i="3"/>
  <c r="I133" i="3" s="1"/>
  <c r="A132" i="3"/>
  <c r="I132" i="3" s="1"/>
  <c r="A131" i="3"/>
  <c r="I131" i="3" s="1"/>
  <c r="A130" i="3"/>
  <c r="I130" i="3" s="1"/>
  <c r="A129" i="3"/>
  <c r="A125" i="3"/>
  <c r="I125" i="3" s="1"/>
  <c r="A124" i="3"/>
  <c r="I124" i="3" s="1"/>
  <c r="A123" i="3"/>
  <c r="I123" i="3" s="1"/>
  <c r="A122" i="3"/>
  <c r="I122" i="3" s="1"/>
  <c r="A121" i="3"/>
  <c r="I120" i="3"/>
  <c r="A116" i="3"/>
  <c r="I116" i="3" s="1"/>
  <c r="A115" i="3"/>
  <c r="I115" i="3" s="1"/>
  <c r="A114" i="3"/>
  <c r="I114" i="3" s="1"/>
  <c r="A113" i="3"/>
  <c r="I113" i="3" s="1"/>
  <c r="A112" i="3"/>
  <c r="I112" i="3" s="1"/>
  <c r="A111" i="3"/>
  <c r="I111" i="3" s="1"/>
  <c r="A110" i="3"/>
  <c r="A109" i="3"/>
  <c r="A108" i="3"/>
  <c r="A107" i="3"/>
  <c r="A106" i="3"/>
  <c r="A105" i="3"/>
  <c r="A104" i="3"/>
  <c r="A103" i="3"/>
  <c r="A102" i="3"/>
  <c r="A101" i="3"/>
  <c r="A100" i="3"/>
  <c r="A99" i="3"/>
  <c r="A98" i="3"/>
  <c r="A97" i="3"/>
  <c r="A96" i="3"/>
  <c r="A95" i="3"/>
  <c r="A94" i="3"/>
  <c r="A93" i="3"/>
  <c r="I93" i="3" s="1"/>
  <c r="A71" i="3"/>
  <c r="A75" i="3"/>
  <c r="A82" i="3"/>
  <c r="C3" i="1"/>
  <c r="N4" i="1" s="1"/>
  <c r="M4" i="1"/>
  <c r="M5" i="1"/>
  <c r="M6" i="1"/>
  <c r="M7" i="1"/>
  <c r="M8" i="1"/>
  <c r="M9" i="1"/>
  <c r="M10" i="1"/>
  <c r="M11" i="1"/>
  <c r="M12" i="1"/>
  <c r="M13" i="1"/>
  <c r="M14" i="1"/>
  <c r="M3" i="1"/>
  <c r="F75" i="3" l="1"/>
  <c r="I75" i="3"/>
  <c r="F71" i="3"/>
  <c r="I71" i="3"/>
  <c r="F82" i="3"/>
  <c r="I82" i="3"/>
  <c r="K3" i="15"/>
  <c r="J3" i="15"/>
  <c r="I3" i="15"/>
  <c r="N406" i="3"/>
  <c r="N419" i="3" s="1"/>
  <c r="D28" i="19"/>
  <c r="N407" i="3"/>
  <c r="N408" i="3"/>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19"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N10" i="1"/>
  <c r="N9" i="1"/>
  <c r="N8" i="1"/>
  <c r="N3" i="1"/>
  <c r="N7" i="1"/>
  <c r="N14" i="1"/>
  <c r="N6" i="1"/>
  <c r="N13" i="1"/>
  <c r="N5" i="1"/>
  <c r="N12" i="1"/>
  <c r="Z468" i="3"/>
  <c r="AL3" i="15" l="1"/>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N428" i="3"/>
  <c r="N411" i="3"/>
  <c r="N435" i="3"/>
  <c r="N429" i="3"/>
  <c r="N420" i="3"/>
  <c r="N436" i="3"/>
  <c r="N412" i="3"/>
  <c r="N409" i="3"/>
  <c r="N437" i="3"/>
  <c r="N421" i="3"/>
  <c r="N430" i="3"/>
  <c r="N413" i="3"/>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H193" i="3" s="1"/>
  <c r="D38" i="19" s="1"/>
  <c r="I241" i="3"/>
  <c r="I104" i="3"/>
  <c r="I303" i="3"/>
  <c r="I308" i="3" s="1"/>
  <c r="I313" i="3" s="1"/>
  <c r="D56" i="19"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D26" i="19" l="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27" i="19"/>
  <c r="D29" i="19"/>
  <c r="D46" i="19"/>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24" i="17" s="1"/>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I164" i="3"/>
  <c r="H134" i="3"/>
  <c r="H152" i="3"/>
  <c r="H121" i="3"/>
  <c r="H329" i="3"/>
  <c r="H154" i="3"/>
  <c r="H350" i="3"/>
  <c r="H348" i="3"/>
  <c r="I250" i="3"/>
  <c r="I288" i="3"/>
  <c r="I193" i="3"/>
  <c r="D39" i="19" s="1"/>
  <c r="I185" i="3"/>
  <c r="G308" i="3"/>
  <c r="H303" i="3"/>
  <c r="G104" i="3"/>
  <c r="H104" i="3" s="1"/>
  <c r="H96" i="3"/>
  <c r="G107" i="3"/>
  <c r="H107" i="3" s="1"/>
  <c r="H116" i="3"/>
  <c r="H112" i="3"/>
  <c r="H115" i="3"/>
  <c r="H111" i="3"/>
  <c r="H114" i="3"/>
  <c r="H120" i="3"/>
  <c r="H113" i="3"/>
  <c r="D23" i="19" l="1"/>
  <c r="H298" i="17"/>
  <c r="F376" i="17"/>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E376" i="17" l="1"/>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V306" i="17" l="1"/>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AC500" i="17"/>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2" i="5"/>
  <c r="AL473" i="17" l="1"/>
  <c r="AO473" i="17" s="1"/>
  <c r="Q75" i="17"/>
  <c r="AL470" i="17" s="1"/>
  <c r="Q344" i="17"/>
  <c r="Q68" i="17"/>
  <c r="Q72" i="17" s="1"/>
  <c r="Q280" i="17"/>
  <c r="Q284" i="17" s="1"/>
  <c r="P284" i="17" s="1"/>
  <c r="Q224" i="17"/>
  <c r="Q228" i="17" s="1"/>
  <c r="Q148" i="17"/>
  <c r="Q344" i="3"/>
  <c r="Q348" i="3" s="1"/>
  <c r="Q68" i="3"/>
  <c r="Q148" i="3"/>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Q152" i="17"/>
  <c r="AL435" i="17"/>
  <c r="P94" i="17"/>
  <c r="O96" i="17"/>
  <c r="Q158" i="17" s="1"/>
  <c r="Q82" i="17" s="1"/>
  <c r="AL479" i="17" s="1"/>
  <c r="AL446" i="17"/>
  <c r="P297" i="17"/>
  <c r="AL438" i="17"/>
  <c r="Q329" i="17"/>
  <c r="Q13" i="17"/>
  <c r="AL444" i="17"/>
  <c r="P307" i="17"/>
  <c r="AL465" i="17"/>
  <c r="AL409" i="17"/>
  <c r="Q348"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Q152" i="3"/>
  <c r="P298" i="3"/>
  <c r="P359" i="3"/>
  <c r="O361" i="3"/>
  <c r="P361" i="3" s="1"/>
  <c r="Q329" i="3"/>
  <c r="P184" i="3"/>
  <c r="P193" i="3" s="1"/>
  <c r="F38" i="19" s="1"/>
  <c r="P307" i="3"/>
  <c r="Q241" i="3"/>
  <c r="Q209" i="3"/>
  <c r="F43" i="19" s="1"/>
  <c r="O184" i="3"/>
  <c r="Q244" i="3"/>
  <c r="P249" i="3"/>
  <c r="P295" i="3"/>
  <c r="AI419"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47" i="10"/>
  <c r="K146" i="10"/>
  <c r="K144" i="10"/>
  <c r="K143" i="10"/>
  <c r="K140" i="10"/>
  <c r="K138" i="10"/>
  <c r="K133" i="10"/>
  <c r="K131" i="10"/>
  <c r="K130" i="10"/>
  <c r="K129" i="10"/>
  <c r="K128" i="10"/>
  <c r="K127" i="10"/>
  <c r="K126" i="10"/>
  <c r="K125" i="10"/>
  <c r="K124" i="10"/>
  <c r="K123" i="10"/>
  <c r="K122" i="10"/>
  <c r="K120" i="10"/>
  <c r="K119" i="10"/>
  <c r="K118" i="10"/>
  <c r="K117" i="10"/>
  <c r="K115" i="10"/>
  <c r="K105" i="10"/>
  <c r="K102" i="10"/>
  <c r="K101" i="10"/>
  <c r="K100" i="10"/>
  <c r="K98" i="10"/>
  <c r="K97" i="10"/>
  <c r="K96" i="10"/>
  <c r="K95" i="10"/>
  <c r="K94" i="10"/>
  <c r="K90" i="10"/>
  <c r="K89" i="10"/>
  <c r="K88" i="10"/>
  <c r="K87" i="10"/>
  <c r="K86" i="10"/>
  <c r="K85" i="10"/>
  <c r="K84" i="10"/>
  <c r="K83" i="10"/>
  <c r="K79" i="10"/>
  <c r="K78" i="10"/>
  <c r="K75" i="10"/>
  <c r="K71" i="10"/>
  <c r="K70" i="10"/>
  <c r="K69" i="10"/>
  <c r="K67" i="10"/>
  <c r="K65" i="10"/>
  <c r="K62" i="10"/>
  <c r="K61" i="10"/>
  <c r="K60" i="10"/>
  <c r="K58" i="10"/>
  <c r="K56" i="10"/>
  <c r="K55" i="10"/>
  <c r="K53" i="10"/>
  <c r="K52" i="10"/>
  <c r="K51" i="10"/>
  <c r="K47" i="10"/>
  <c r="K42" i="10"/>
  <c r="K40" i="10"/>
  <c r="K37" i="10"/>
  <c r="K35" i="10"/>
  <c r="K31" i="10"/>
  <c r="K30" i="10"/>
  <c r="K29" i="10"/>
  <c r="K28" i="10"/>
  <c r="K22" i="10"/>
  <c r="K13" i="10"/>
  <c r="K12" i="10"/>
  <c r="K9" i="10"/>
  <c r="I8" i="10"/>
  <c r="K7" i="10"/>
  <c r="I7" i="10"/>
  <c r="I6" i="10"/>
  <c r="I5" i="10"/>
  <c r="K4" i="10"/>
  <c r="I4" i="10"/>
  <c r="I3" i="10"/>
  <c r="K2" i="10"/>
  <c r="S1054" i="5"/>
  <c r="R1054" i="5"/>
  <c r="Q1054" i="5"/>
  <c r="N1054" i="5" s="1"/>
  <c r="M1054" i="5"/>
  <c r="L1054" i="5"/>
  <c r="S1053" i="5"/>
  <c r="R1053" i="5"/>
  <c r="Q1053" i="5"/>
  <c r="P1053" i="5" s="1"/>
  <c r="M1053" i="5"/>
  <c r="L1053" i="5"/>
  <c r="S1052" i="5"/>
  <c r="R1052" i="5"/>
  <c r="Q1052" i="5"/>
  <c r="N1052" i="5" s="1"/>
  <c r="M1052" i="5"/>
  <c r="L1052" i="5"/>
  <c r="S1051" i="5"/>
  <c r="R1051" i="5"/>
  <c r="Q1051" i="5"/>
  <c r="M1051" i="5"/>
  <c r="L1051" i="5"/>
  <c r="S1050" i="5"/>
  <c r="R1050" i="5"/>
  <c r="Q1050" i="5"/>
  <c r="M1050" i="5"/>
  <c r="L1050" i="5"/>
  <c r="S1049" i="5"/>
  <c r="R1049" i="5"/>
  <c r="Q1049" i="5"/>
  <c r="P1049" i="5" s="1"/>
  <c r="M1049" i="5"/>
  <c r="L1049" i="5"/>
  <c r="S1048" i="5"/>
  <c r="R1048" i="5"/>
  <c r="Q1048" i="5"/>
  <c r="N1048" i="5" s="1"/>
  <c r="M1048" i="5"/>
  <c r="L1048" i="5"/>
  <c r="S1047" i="5"/>
  <c r="R1047" i="5"/>
  <c r="Q1047" i="5"/>
  <c r="P1047" i="5" s="1"/>
  <c r="M1047" i="5"/>
  <c r="L1047" i="5"/>
  <c r="S1046" i="5"/>
  <c r="R1046" i="5"/>
  <c r="Q1046" i="5"/>
  <c r="N1046" i="5" s="1"/>
  <c r="M1046" i="5"/>
  <c r="L1046" i="5"/>
  <c r="S1045" i="5"/>
  <c r="R1045" i="5"/>
  <c r="Q1045" i="5"/>
  <c r="P1045" i="5" s="1"/>
  <c r="M1045" i="5"/>
  <c r="L1045" i="5"/>
  <c r="S1044" i="5"/>
  <c r="R1044" i="5"/>
  <c r="Q1044" i="5"/>
  <c r="N1044" i="5" s="1"/>
  <c r="M1044" i="5"/>
  <c r="L1044" i="5"/>
  <c r="S1043" i="5"/>
  <c r="R1043" i="5"/>
  <c r="Q1043" i="5"/>
  <c r="P1043" i="5" s="1"/>
  <c r="M1043" i="5"/>
  <c r="L1043" i="5"/>
  <c r="S1042" i="5"/>
  <c r="R1042" i="5"/>
  <c r="Q1042" i="5"/>
  <c r="M1042" i="5"/>
  <c r="L1042" i="5"/>
  <c r="S1041" i="5"/>
  <c r="R1041" i="5"/>
  <c r="Q1041" i="5"/>
  <c r="P1041" i="5" s="1"/>
  <c r="M1041" i="5"/>
  <c r="L1041" i="5"/>
  <c r="S1040" i="5"/>
  <c r="R1040" i="5"/>
  <c r="Q1040" i="5"/>
  <c r="N1040" i="5" s="1"/>
  <c r="M1040" i="5"/>
  <c r="L1040" i="5"/>
  <c r="S1039" i="5"/>
  <c r="R1039" i="5"/>
  <c r="Q1039" i="5"/>
  <c r="M1039" i="5"/>
  <c r="L1039" i="5"/>
  <c r="S1038" i="5"/>
  <c r="R1038" i="5"/>
  <c r="Q1038" i="5"/>
  <c r="N1038" i="5" s="1"/>
  <c r="M1038" i="5"/>
  <c r="L1038" i="5"/>
  <c r="S1037" i="5"/>
  <c r="R1037" i="5"/>
  <c r="Q1037" i="5"/>
  <c r="P1037" i="5" s="1"/>
  <c r="M1037" i="5"/>
  <c r="L1037" i="5"/>
  <c r="S1036" i="5"/>
  <c r="R1036" i="5"/>
  <c r="Q1036" i="5"/>
  <c r="N1036" i="5" s="1"/>
  <c r="M1036" i="5"/>
  <c r="L1036" i="5"/>
  <c r="S1035" i="5"/>
  <c r="R1035" i="5"/>
  <c r="Q1035" i="5"/>
  <c r="P1035" i="5" s="1"/>
  <c r="M1035" i="5"/>
  <c r="L1035" i="5"/>
  <c r="S1034" i="5"/>
  <c r="R1034" i="5"/>
  <c r="Q1034" i="5"/>
  <c r="N1034" i="5" s="1"/>
  <c r="M1034" i="5"/>
  <c r="L1034" i="5"/>
  <c r="X1034" i="5" s="1"/>
  <c r="S1033" i="5"/>
  <c r="R1033" i="5"/>
  <c r="Q1033" i="5"/>
  <c r="P1033" i="5" s="1"/>
  <c r="M1033" i="5"/>
  <c r="L1033" i="5"/>
  <c r="X1033" i="5" s="1"/>
  <c r="S1032" i="5"/>
  <c r="R1032" i="5"/>
  <c r="Q1032" i="5"/>
  <c r="N1032" i="5" s="1"/>
  <c r="M1032" i="5"/>
  <c r="L1032" i="5"/>
  <c r="S1031" i="5"/>
  <c r="R1031" i="5"/>
  <c r="Q1031" i="5"/>
  <c r="P1031" i="5" s="1"/>
  <c r="M1031" i="5"/>
  <c r="L1031" i="5"/>
  <c r="X1031" i="5" s="1"/>
  <c r="S1030" i="5"/>
  <c r="R1030" i="5"/>
  <c r="Q1030" i="5"/>
  <c r="N1030" i="5" s="1"/>
  <c r="M1030" i="5"/>
  <c r="L1030" i="5"/>
  <c r="X1030" i="5" s="1"/>
  <c r="S1029" i="5"/>
  <c r="R1029" i="5"/>
  <c r="Q1029" i="5"/>
  <c r="P1029" i="5" s="1"/>
  <c r="M1029" i="5"/>
  <c r="L1029" i="5"/>
  <c r="X1029" i="5" s="1"/>
  <c r="S1028" i="5"/>
  <c r="R1028" i="5"/>
  <c r="Q1028" i="5"/>
  <c r="N1028" i="5" s="1"/>
  <c r="M1028" i="5"/>
  <c r="L1028" i="5"/>
  <c r="X1028" i="5" s="1"/>
  <c r="S1027" i="5"/>
  <c r="R1027" i="5"/>
  <c r="Q1027" i="5"/>
  <c r="P1027" i="5" s="1"/>
  <c r="M1027" i="5"/>
  <c r="L1027" i="5"/>
  <c r="S1026" i="5"/>
  <c r="R1026" i="5"/>
  <c r="Q1026" i="5"/>
  <c r="N1026" i="5" s="1"/>
  <c r="M1026" i="5"/>
  <c r="L1026" i="5"/>
  <c r="S1025" i="5"/>
  <c r="R1025" i="5"/>
  <c r="Q1025" i="5"/>
  <c r="P1025" i="5" s="1"/>
  <c r="M1025" i="5"/>
  <c r="L1025" i="5"/>
  <c r="S1024" i="5"/>
  <c r="R1024" i="5"/>
  <c r="Q1024" i="5"/>
  <c r="N1024" i="5" s="1"/>
  <c r="M1024" i="5"/>
  <c r="L1024" i="5"/>
  <c r="X1024" i="5" s="1"/>
  <c r="S1023" i="5"/>
  <c r="R1023" i="5"/>
  <c r="Q1023" i="5"/>
  <c r="P1023" i="5" s="1"/>
  <c r="M1023" i="5"/>
  <c r="L1023" i="5"/>
  <c r="S1022" i="5"/>
  <c r="R1022" i="5"/>
  <c r="Q1022" i="5"/>
  <c r="N1022" i="5" s="1"/>
  <c r="M1022" i="5"/>
  <c r="L1022" i="5"/>
  <c r="S1021" i="5"/>
  <c r="R1021" i="5"/>
  <c r="Q1021" i="5"/>
  <c r="P1021" i="5" s="1"/>
  <c r="M1021" i="5"/>
  <c r="L1021" i="5"/>
  <c r="S1020" i="5"/>
  <c r="R1020" i="5"/>
  <c r="Q1020" i="5"/>
  <c r="N1020" i="5" s="1"/>
  <c r="M1020" i="5"/>
  <c r="L1020" i="5"/>
  <c r="S1019" i="5"/>
  <c r="R1019" i="5"/>
  <c r="Q1019" i="5"/>
  <c r="M1019" i="5"/>
  <c r="L1019" i="5"/>
  <c r="S1018" i="5"/>
  <c r="R1018" i="5"/>
  <c r="Q1018" i="5"/>
  <c r="N1018" i="5" s="1"/>
  <c r="M1018" i="5"/>
  <c r="L1018" i="5"/>
  <c r="S1017" i="5"/>
  <c r="R1017" i="5"/>
  <c r="Q1017" i="5"/>
  <c r="P1017" i="5" s="1"/>
  <c r="M1017" i="5"/>
  <c r="L1017" i="5"/>
  <c r="S1016" i="5"/>
  <c r="R1016" i="5"/>
  <c r="Q1016" i="5"/>
  <c r="N1016" i="5" s="1"/>
  <c r="M1016" i="5"/>
  <c r="L1016" i="5"/>
  <c r="S1015" i="5"/>
  <c r="R1015" i="5"/>
  <c r="Q1015" i="5"/>
  <c r="P1015" i="5" s="1"/>
  <c r="M1015" i="5"/>
  <c r="L1015" i="5"/>
  <c r="S1014" i="5"/>
  <c r="R1014" i="5"/>
  <c r="Q1014" i="5"/>
  <c r="N1014" i="5" s="1"/>
  <c r="M1014" i="5"/>
  <c r="L1014" i="5"/>
  <c r="S1013" i="5"/>
  <c r="R1013" i="5"/>
  <c r="Q1013" i="5"/>
  <c r="P1013" i="5" s="1"/>
  <c r="M1013" i="5"/>
  <c r="L1013" i="5"/>
  <c r="S1012" i="5"/>
  <c r="R1012" i="5"/>
  <c r="Q1012" i="5"/>
  <c r="N1012" i="5" s="1"/>
  <c r="M1012" i="5"/>
  <c r="L1012" i="5"/>
  <c r="S1011" i="5"/>
  <c r="R1011" i="5"/>
  <c r="Q1011" i="5"/>
  <c r="M1011" i="5"/>
  <c r="L1011" i="5"/>
  <c r="S1010" i="5"/>
  <c r="R1010" i="5"/>
  <c r="Q1010" i="5"/>
  <c r="N1010" i="5" s="1"/>
  <c r="M1010" i="5"/>
  <c r="L1010" i="5"/>
  <c r="S1009" i="5"/>
  <c r="R1009" i="5"/>
  <c r="Q1009" i="5"/>
  <c r="M1009" i="5"/>
  <c r="L1009" i="5"/>
  <c r="S1008" i="5"/>
  <c r="R1008" i="5"/>
  <c r="Q1008" i="5"/>
  <c r="N1008" i="5" s="1"/>
  <c r="M1008" i="5"/>
  <c r="L1008" i="5"/>
  <c r="S1007" i="5"/>
  <c r="R1007" i="5"/>
  <c r="Q1007" i="5"/>
  <c r="P1007" i="5" s="1"/>
  <c r="M1007" i="5"/>
  <c r="L1007" i="5"/>
  <c r="X1007" i="5" s="1"/>
  <c r="S1006" i="5"/>
  <c r="R1006" i="5"/>
  <c r="Q1006" i="5"/>
  <c r="N1006" i="5" s="1"/>
  <c r="M1006" i="5"/>
  <c r="L1006" i="5"/>
  <c r="S1005" i="5"/>
  <c r="R1005" i="5"/>
  <c r="Q1005" i="5"/>
  <c r="P1005" i="5" s="1"/>
  <c r="M1005" i="5"/>
  <c r="L1005" i="5"/>
  <c r="S1004" i="5"/>
  <c r="R1004" i="5"/>
  <c r="Q1004" i="5"/>
  <c r="N1004" i="5" s="1"/>
  <c r="M1004" i="5"/>
  <c r="L1004" i="5"/>
  <c r="S1003" i="5"/>
  <c r="R1003" i="5"/>
  <c r="Q1003" i="5"/>
  <c r="P1003" i="5" s="1"/>
  <c r="M1003" i="5"/>
  <c r="L1003" i="5"/>
  <c r="S1002" i="5"/>
  <c r="R1002" i="5"/>
  <c r="Q1002" i="5"/>
  <c r="N1002" i="5" s="1"/>
  <c r="M1002" i="5"/>
  <c r="L1002" i="5"/>
  <c r="X1002" i="5" s="1"/>
  <c r="S1001" i="5"/>
  <c r="R1001" i="5"/>
  <c r="Q1001" i="5"/>
  <c r="M1001" i="5"/>
  <c r="L1001" i="5"/>
  <c r="X1001" i="5" s="1"/>
  <c r="S1000" i="5"/>
  <c r="R1000" i="5"/>
  <c r="Q1000" i="5"/>
  <c r="N1000" i="5" s="1"/>
  <c r="M1000" i="5"/>
  <c r="L1000" i="5"/>
  <c r="X1000" i="5" s="1"/>
  <c r="S999" i="5"/>
  <c r="R999" i="5"/>
  <c r="Q999" i="5"/>
  <c r="P999" i="5" s="1"/>
  <c r="M999" i="5"/>
  <c r="L999" i="5"/>
  <c r="X999" i="5" s="1"/>
  <c r="S998" i="5"/>
  <c r="R998" i="5"/>
  <c r="Q998" i="5"/>
  <c r="N998" i="5" s="1"/>
  <c r="M998" i="5"/>
  <c r="L998" i="5"/>
  <c r="S997" i="5"/>
  <c r="R997" i="5"/>
  <c r="Q997" i="5"/>
  <c r="P997" i="5" s="1"/>
  <c r="M997" i="5"/>
  <c r="L997" i="5"/>
  <c r="S996" i="5"/>
  <c r="R996" i="5"/>
  <c r="Q996" i="5"/>
  <c r="N996" i="5" s="1"/>
  <c r="M996" i="5"/>
  <c r="L996" i="5"/>
  <c r="S995" i="5"/>
  <c r="R995" i="5"/>
  <c r="Q995" i="5"/>
  <c r="M995" i="5"/>
  <c r="L995" i="5"/>
  <c r="S994" i="5"/>
  <c r="R994" i="5"/>
  <c r="Q994" i="5"/>
  <c r="N994" i="5" s="1"/>
  <c r="M994" i="5"/>
  <c r="L994" i="5"/>
  <c r="X994" i="5" s="1"/>
  <c r="S993" i="5"/>
  <c r="R993" i="5"/>
  <c r="Q993" i="5"/>
  <c r="P993" i="5" s="1"/>
  <c r="M993" i="5"/>
  <c r="L993" i="5"/>
  <c r="S992" i="5"/>
  <c r="R992" i="5"/>
  <c r="Q992" i="5"/>
  <c r="N992" i="5" s="1"/>
  <c r="M992" i="5"/>
  <c r="L992" i="5"/>
  <c r="S991" i="5"/>
  <c r="R991" i="5"/>
  <c r="Q991" i="5"/>
  <c r="O991" i="5" s="1"/>
  <c r="M991" i="5"/>
  <c r="L991" i="5"/>
  <c r="S990" i="5"/>
  <c r="R990" i="5"/>
  <c r="Q990" i="5"/>
  <c r="N990" i="5" s="1"/>
  <c r="M990" i="5"/>
  <c r="L990" i="5"/>
  <c r="S989" i="5"/>
  <c r="R989" i="5"/>
  <c r="Q989" i="5"/>
  <c r="P989" i="5" s="1"/>
  <c r="M989" i="5"/>
  <c r="L989" i="5"/>
  <c r="X989" i="5" s="1"/>
  <c r="S988" i="5"/>
  <c r="R988" i="5"/>
  <c r="Q988" i="5"/>
  <c r="N988" i="5" s="1"/>
  <c r="M988" i="5"/>
  <c r="L988" i="5"/>
  <c r="S987" i="5"/>
  <c r="R987" i="5"/>
  <c r="Q987" i="5"/>
  <c r="N987" i="5" s="1"/>
  <c r="M987" i="5"/>
  <c r="L987" i="5"/>
  <c r="S986" i="5"/>
  <c r="R986" i="5"/>
  <c r="Q986" i="5"/>
  <c r="N986" i="5" s="1"/>
  <c r="M986" i="5"/>
  <c r="L986" i="5"/>
  <c r="S985" i="5"/>
  <c r="R985" i="5"/>
  <c r="Q985" i="5"/>
  <c r="P985" i="5" s="1"/>
  <c r="M985" i="5"/>
  <c r="L985" i="5"/>
  <c r="S984" i="5"/>
  <c r="R984" i="5"/>
  <c r="Q984" i="5"/>
  <c r="N984" i="5" s="1"/>
  <c r="M984" i="5"/>
  <c r="L984" i="5"/>
  <c r="S983" i="5"/>
  <c r="R983" i="5"/>
  <c r="Q983" i="5"/>
  <c r="N983" i="5" s="1"/>
  <c r="M983" i="5"/>
  <c r="L983" i="5"/>
  <c r="S982" i="5"/>
  <c r="R982" i="5"/>
  <c r="Q982" i="5"/>
  <c r="N982" i="5" s="1"/>
  <c r="M982" i="5"/>
  <c r="L982" i="5"/>
  <c r="S981" i="5"/>
  <c r="R981" i="5"/>
  <c r="Q981" i="5"/>
  <c r="P981" i="5" s="1"/>
  <c r="M981" i="5"/>
  <c r="L981" i="5"/>
  <c r="S980" i="5"/>
  <c r="R980" i="5"/>
  <c r="Q980" i="5"/>
  <c r="N980" i="5" s="1"/>
  <c r="M980" i="5"/>
  <c r="L980" i="5"/>
  <c r="S979" i="5"/>
  <c r="R979" i="5"/>
  <c r="Q979" i="5"/>
  <c r="N979" i="5" s="1"/>
  <c r="M979" i="5"/>
  <c r="L979" i="5"/>
  <c r="S978" i="5"/>
  <c r="R978" i="5"/>
  <c r="Q978" i="5"/>
  <c r="N978" i="5" s="1"/>
  <c r="M978" i="5"/>
  <c r="L978" i="5"/>
  <c r="S977" i="5"/>
  <c r="R977" i="5"/>
  <c r="Q977" i="5"/>
  <c r="O977" i="5" s="1"/>
  <c r="M977" i="5"/>
  <c r="L977" i="5"/>
  <c r="S976" i="5"/>
  <c r="R976" i="5"/>
  <c r="Q976" i="5"/>
  <c r="N976" i="5" s="1"/>
  <c r="M976" i="5"/>
  <c r="L976" i="5"/>
  <c r="S975" i="5"/>
  <c r="R975" i="5"/>
  <c r="Q975" i="5"/>
  <c r="O975" i="5" s="1"/>
  <c r="M975" i="5"/>
  <c r="L975" i="5"/>
  <c r="S974" i="5"/>
  <c r="R974" i="5"/>
  <c r="Q974" i="5"/>
  <c r="O974" i="5" s="1"/>
  <c r="M974" i="5"/>
  <c r="L974" i="5"/>
  <c r="S973" i="5"/>
  <c r="R973" i="5"/>
  <c r="Q973" i="5"/>
  <c r="O973" i="5" s="1"/>
  <c r="M973" i="5"/>
  <c r="L973" i="5"/>
  <c r="S972" i="5"/>
  <c r="R972" i="5"/>
  <c r="Q972" i="5"/>
  <c r="N972" i="5" s="1"/>
  <c r="M972" i="5"/>
  <c r="L972" i="5"/>
  <c r="S971" i="5"/>
  <c r="R971" i="5"/>
  <c r="Q971" i="5"/>
  <c r="M971" i="5"/>
  <c r="L971" i="5"/>
  <c r="S970" i="5"/>
  <c r="R970" i="5"/>
  <c r="Q970" i="5"/>
  <c r="P970" i="5" s="1"/>
  <c r="M970" i="5"/>
  <c r="L970" i="5"/>
  <c r="S969" i="5"/>
  <c r="R969" i="5"/>
  <c r="Q969" i="5"/>
  <c r="O969" i="5" s="1"/>
  <c r="M969" i="5"/>
  <c r="L969" i="5"/>
  <c r="S968" i="5"/>
  <c r="R968" i="5"/>
  <c r="Q968" i="5"/>
  <c r="O968" i="5" s="1"/>
  <c r="M968" i="5"/>
  <c r="L968" i="5"/>
  <c r="S967" i="5"/>
  <c r="R967" i="5"/>
  <c r="Q967" i="5"/>
  <c r="O967" i="5" s="1"/>
  <c r="M967" i="5"/>
  <c r="L967" i="5"/>
  <c r="S966" i="5"/>
  <c r="R966" i="5"/>
  <c r="Q966" i="5"/>
  <c r="O966" i="5" s="1"/>
  <c r="M966" i="5"/>
  <c r="L966" i="5"/>
  <c r="S965" i="5"/>
  <c r="R965" i="5"/>
  <c r="Q965" i="5"/>
  <c r="P965" i="5" s="1"/>
  <c r="M965" i="5"/>
  <c r="L965" i="5"/>
  <c r="X965" i="5" s="1"/>
  <c r="S964" i="5"/>
  <c r="R964" i="5"/>
  <c r="Q964" i="5"/>
  <c r="N964" i="5" s="1"/>
  <c r="M964" i="5"/>
  <c r="L964" i="5"/>
  <c r="X964" i="5" s="1"/>
  <c r="S963" i="5"/>
  <c r="R963" i="5"/>
  <c r="Q963" i="5"/>
  <c r="P963" i="5" s="1"/>
  <c r="M963" i="5"/>
  <c r="L963" i="5"/>
  <c r="S962" i="5"/>
  <c r="R962" i="5"/>
  <c r="Q962" i="5"/>
  <c r="O962" i="5" s="1"/>
  <c r="M962" i="5"/>
  <c r="L962" i="5"/>
  <c r="S961" i="5"/>
  <c r="R961" i="5"/>
  <c r="Q961" i="5"/>
  <c r="P961" i="5" s="1"/>
  <c r="M961" i="5"/>
  <c r="L961" i="5"/>
  <c r="S960" i="5"/>
  <c r="R960" i="5"/>
  <c r="Q960" i="5"/>
  <c r="O960" i="5" s="1"/>
  <c r="M960" i="5"/>
  <c r="L960" i="5"/>
  <c r="S959" i="5"/>
  <c r="R959" i="5"/>
  <c r="Q959" i="5"/>
  <c r="M959" i="5"/>
  <c r="L959" i="5"/>
  <c r="S958" i="5"/>
  <c r="R958" i="5"/>
  <c r="Q958" i="5"/>
  <c r="O958" i="5" s="1"/>
  <c r="M958" i="5"/>
  <c r="L958" i="5"/>
  <c r="S957" i="5"/>
  <c r="R957" i="5"/>
  <c r="Q957" i="5"/>
  <c r="P957" i="5" s="1"/>
  <c r="M957" i="5"/>
  <c r="L957" i="5"/>
  <c r="S956" i="5"/>
  <c r="R956" i="5"/>
  <c r="Q956" i="5"/>
  <c r="N956" i="5" s="1"/>
  <c r="M956" i="5"/>
  <c r="L956" i="5"/>
  <c r="S955" i="5"/>
  <c r="R955" i="5"/>
  <c r="Q955" i="5"/>
  <c r="O955" i="5" s="1"/>
  <c r="M955" i="5"/>
  <c r="L955" i="5"/>
  <c r="S954" i="5"/>
  <c r="R954" i="5"/>
  <c r="Q954" i="5"/>
  <c r="M954" i="5"/>
  <c r="L954" i="5"/>
  <c r="S953" i="5"/>
  <c r="R953" i="5"/>
  <c r="Q953" i="5"/>
  <c r="O953" i="5" s="1"/>
  <c r="M953" i="5"/>
  <c r="L953" i="5"/>
  <c r="S952" i="5"/>
  <c r="R952" i="5"/>
  <c r="Q952" i="5"/>
  <c r="N952" i="5" s="1"/>
  <c r="M952" i="5"/>
  <c r="L952" i="5"/>
  <c r="S951" i="5"/>
  <c r="R951" i="5"/>
  <c r="Q951" i="5"/>
  <c r="P951" i="5" s="1"/>
  <c r="M951" i="5"/>
  <c r="L951" i="5"/>
  <c r="S950" i="5"/>
  <c r="R950" i="5"/>
  <c r="Q950" i="5"/>
  <c r="M950" i="5"/>
  <c r="L950" i="5"/>
  <c r="S949" i="5"/>
  <c r="R949" i="5"/>
  <c r="Q949" i="5"/>
  <c r="P949" i="5" s="1"/>
  <c r="M949" i="5"/>
  <c r="L949" i="5"/>
  <c r="S948" i="5"/>
  <c r="R948" i="5"/>
  <c r="Q948" i="5"/>
  <c r="N948" i="5" s="1"/>
  <c r="M948" i="5"/>
  <c r="L948" i="5"/>
  <c r="S947" i="5"/>
  <c r="R947" i="5"/>
  <c r="Q947" i="5"/>
  <c r="M947" i="5"/>
  <c r="L947" i="5"/>
  <c r="S946" i="5"/>
  <c r="R946" i="5"/>
  <c r="Q946" i="5"/>
  <c r="N946" i="5" s="1"/>
  <c r="M946" i="5"/>
  <c r="L946" i="5"/>
  <c r="S945" i="5"/>
  <c r="R945" i="5"/>
  <c r="Q945" i="5"/>
  <c r="O945" i="5" s="1"/>
  <c r="M945" i="5"/>
  <c r="L945" i="5"/>
  <c r="S944" i="5"/>
  <c r="R944" i="5"/>
  <c r="Q944" i="5"/>
  <c r="N944" i="5" s="1"/>
  <c r="M944" i="5"/>
  <c r="L944" i="5"/>
  <c r="S943" i="5"/>
  <c r="R943" i="5"/>
  <c r="Q943" i="5"/>
  <c r="P943" i="5" s="1"/>
  <c r="M943" i="5"/>
  <c r="L943" i="5"/>
  <c r="X943" i="5" s="1"/>
  <c r="S942" i="5"/>
  <c r="R942" i="5"/>
  <c r="Q942" i="5"/>
  <c r="N942" i="5" s="1"/>
  <c r="M942" i="5"/>
  <c r="L942" i="5"/>
  <c r="S941" i="5"/>
  <c r="R941" i="5"/>
  <c r="Q941" i="5"/>
  <c r="M941" i="5"/>
  <c r="L941" i="5"/>
  <c r="S940" i="5"/>
  <c r="R940" i="5"/>
  <c r="Q940" i="5"/>
  <c r="N940" i="5" s="1"/>
  <c r="M940" i="5"/>
  <c r="L940" i="5"/>
  <c r="X940" i="5" s="1"/>
  <c r="S939" i="5"/>
  <c r="R939" i="5"/>
  <c r="Q939" i="5"/>
  <c r="M939" i="5"/>
  <c r="L939" i="5"/>
  <c r="S938" i="5"/>
  <c r="R938" i="5"/>
  <c r="Q938" i="5"/>
  <c r="M938" i="5"/>
  <c r="L938" i="5"/>
  <c r="X938" i="5" s="1"/>
  <c r="S937" i="5"/>
  <c r="R937" i="5"/>
  <c r="Q937" i="5"/>
  <c r="O937" i="5" s="1"/>
  <c r="M937" i="5"/>
  <c r="L937" i="5"/>
  <c r="S936" i="5"/>
  <c r="R936" i="5"/>
  <c r="Q936" i="5"/>
  <c r="N936" i="5" s="1"/>
  <c r="M936" i="5"/>
  <c r="L936" i="5"/>
  <c r="S935" i="5"/>
  <c r="R935" i="5"/>
  <c r="Q935" i="5"/>
  <c r="P935" i="5" s="1"/>
  <c r="M935" i="5"/>
  <c r="L935" i="5"/>
  <c r="S934" i="5"/>
  <c r="R934" i="5"/>
  <c r="Q934" i="5"/>
  <c r="N934" i="5" s="1"/>
  <c r="M934" i="5"/>
  <c r="L934" i="5"/>
  <c r="S933" i="5"/>
  <c r="R933" i="5"/>
  <c r="Q933" i="5"/>
  <c r="M933" i="5"/>
  <c r="L933" i="5"/>
  <c r="S932" i="5"/>
  <c r="R932" i="5"/>
  <c r="Q932" i="5"/>
  <c r="N932" i="5" s="1"/>
  <c r="M932" i="5"/>
  <c r="L932" i="5"/>
  <c r="S931" i="5"/>
  <c r="R931" i="5"/>
  <c r="Q931" i="5"/>
  <c r="P931" i="5" s="1"/>
  <c r="M931" i="5"/>
  <c r="L931" i="5"/>
  <c r="S930" i="5"/>
  <c r="R930" i="5"/>
  <c r="Q930" i="5"/>
  <c r="N930" i="5" s="1"/>
  <c r="M930" i="5"/>
  <c r="L930" i="5"/>
  <c r="X930" i="5" s="1"/>
  <c r="S929" i="5"/>
  <c r="R929" i="5"/>
  <c r="Q929" i="5"/>
  <c r="M929" i="5"/>
  <c r="L929" i="5"/>
  <c r="X929" i="5" s="1"/>
  <c r="S928" i="5"/>
  <c r="R928" i="5"/>
  <c r="Q928" i="5"/>
  <c r="M928" i="5"/>
  <c r="L928" i="5"/>
  <c r="S927" i="5"/>
  <c r="R927" i="5"/>
  <c r="Q927" i="5"/>
  <c r="O927" i="5" s="1"/>
  <c r="M927" i="5"/>
  <c r="L927" i="5"/>
  <c r="X927" i="5" s="1"/>
  <c r="S926" i="5"/>
  <c r="R926" i="5"/>
  <c r="Q926" i="5"/>
  <c r="N926" i="5" s="1"/>
  <c r="M926" i="5"/>
  <c r="L926" i="5"/>
  <c r="X926" i="5" s="1"/>
  <c r="S925" i="5"/>
  <c r="R925" i="5"/>
  <c r="Q925" i="5"/>
  <c r="O925" i="5" s="1"/>
  <c r="M925" i="5"/>
  <c r="L925" i="5"/>
  <c r="X925" i="5" s="1"/>
  <c r="S924" i="5"/>
  <c r="R924" i="5"/>
  <c r="Q924" i="5"/>
  <c r="N924" i="5" s="1"/>
  <c r="M924" i="5"/>
  <c r="L924" i="5"/>
  <c r="S923" i="5"/>
  <c r="R923" i="5"/>
  <c r="Q923" i="5"/>
  <c r="N923" i="5" s="1"/>
  <c r="M923" i="5"/>
  <c r="L923" i="5"/>
  <c r="X923" i="5" s="1"/>
  <c r="S922" i="5"/>
  <c r="R922" i="5"/>
  <c r="Q922" i="5"/>
  <c r="N922" i="5" s="1"/>
  <c r="M922" i="5"/>
  <c r="L922" i="5"/>
  <c r="S921" i="5"/>
  <c r="R921" i="5"/>
  <c r="Q921" i="5"/>
  <c r="N921" i="5" s="1"/>
  <c r="M921" i="5"/>
  <c r="L921" i="5"/>
  <c r="S920" i="5"/>
  <c r="R920" i="5"/>
  <c r="Q920" i="5"/>
  <c r="P920" i="5" s="1"/>
  <c r="M920" i="5"/>
  <c r="L920" i="5"/>
  <c r="S919" i="5"/>
  <c r="R919" i="5"/>
  <c r="Q919" i="5"/>
  <c r="O919" i="5" s="1"/>
  <c r="M919" i="5"/>
  <c r="L919" i="5"/>
  <c r="X919" i="5" s="1"/>
  <c r="S918" i="5"/>
  <c r="R918" i="5"/>
  <c r="Q918" i="5"/>
  <c r="N918" i="5" s="1"/>
  <c r="M918" i="5"/>
  <c r="L918" i="5"/>
  <c r="S917" i="5"/>
  <c r="R917" i="5"/>
  <c r="Q917" i="5"/>
  <c r="O917" i="5" s="1"/>
  <c r="M917" i="5"/>
  <c r="L917" i="5"/>
  <c r="X917" i="5" s="1"/>
  <c r="S916" i="5"/>
  <c r="R916" i="5"/>
  <c r="Q916" i="5"/>
  <c r="M916" i="5"/>
  <c r="L916" i="5"/>
  <c r="X916" i="5" s="1"/>
  <c r="S915" i="5"/>
  <c r="R915" i="5"/>
  <c r="Q915" i="5"/>
  <c r="M915" i="5"/>
  <c r="L915" i="5"/>
  <c r="S914" i="5"/>
  <c r="R914" i="5"/>
  <c r="Q914" i="5"/>
  <c r="M914" i="5"/>
  <c r="L914" i="5"/>
  <c r="S913" i="5"/>
  <c r="R913" i="5"/>
  <c r="Q913" i="5"/>
  <c r="N913" i="5" s="1"/>
  <c r="M913" i="5"/>
  <c r="L913" i="5"/>
  <c r="S912" i="5"/>
  <c r="R912" i="5"/>
  <c r="Q912" i="5"/>
  <c r="P912" i="5" s="1"/>
  <c r="M912" i="5"/>
  <c r="L912" i="5"/>
  <c r="S911" i="5"/>
  <c r="R911" i="5"/>
  <c r="Q911" i="5"/>
  <c r="O911" i="5" s="1"/>
  <c r="M911" i="5"/>
  <c r="L911" i="5"/>
  <c r="S910" i="5"/>
  <c r="R910" i="5"/>
  <c r="Q910" i="5"/>
  <c r="P910" i="5" s="1"/>
  <c r="M910" i="5"/>
  <c r="L910" i="5"/>
  <c r="S909" i="5"/>
  <c r="R909" i="5"/>
  <c r="Q909" i="5"/>
  <c r="O909" i="5" s="1"/>
  <c r="M909" i="5"/>
  <c r="L909" i="5"/>
  <c r="S908" i="5"/>
  <c r="R908" i="5"/>
  <c r="Q908" i="5"/>
  <c r="M908" i="5"/>
  <c r="L908" i="5"/>
  <c r="S907" i="5"/>
  <c r="R907" i="5"/>
  <c r="Q907" i="5"/>
  <c r="P907" i="5" s="1"/>
  <c r="M907" i="5"/>
  <c r="L907" i="5"/>
  <c r="S906" i="5"/>
  <c r="R906" i="5"/>
  <c r="Q906" i="5"/>
  <c r="N906" i="5" s="1"/>
  <c r="M906" i="5"/>
  <c r="L906" i="5"/>
  <c r="S905" i="5"/>
  <c r="R905" i="5"/>
  <c r="Q905" i="5"/>
  <c r="N905" i="5" s="1"/>
  <c r="M905" i="5"/>
  <c r="L905" i="5"/>
  <c r="S904" i="5"/>
  <c r="R904" i="5"/>
  <c r="Q904" i="5"/>
  <c r="P904" i="5" s="1"/>
  <c r="M904" i="5"/>
  <c r="L904" i="5"/>
  <c r="S903" i="5"/>
  <c r="R903" i="5"/>
  <c r="Q903" i="5"/>
  <c r="O903" i="5" s="1"/>
  <c r="M903" i="5"/>
  <c r="L903" i="5"/>
  <c r="S902" i="5"/>
  <c r="R902" i="5"/>
  <c r="Q902" i="5"/>
  <c r="N902" i="5" s="1"/>
  <c r="M902" i="5"/>
  <c r="L902" i="5"/>
  <c r="S901" i="5"/>
  <c r="R901" i="5"/>
  <c r="Q901" i="5"/>
  <c r="O901" i="5" s="1"/>
  <c r="M901" i="5"/>
  <c r="L901" i="5"/>
  <c r="S900" i="5"/>
  <c r="R900" i="5"/>
  <c r="Q900" i="5"/>
  <c r="N900" i="5" s="1"/>
  <c r="M900" i="5"/>
  <c r="L900" i="5"/>
  <c r="S899" i="5"/>
  <c r="R899" i="5"/>
  <c r="Q899" i="5"/>
  <c r="M899" i="5"/>
  <c r="L899" i="5"/>
  <c r="S898" i="5"/>
  <c r="R898" i="5"/>
  <c r="Q898" i="5"/>
  <c r="P898" i="5" s="1"/>
  <c r="M898" i="5"/>
  <c r="L898" i="5"/>
  <c r="S897" i="5"/>
  <c r="R897" i="5"/>
  <c r="Q897" i="5"/>
  <c r="N897" i="5" s="1"/>
  <c r="M897" i="5"/>
  <c r="L897" i="5"/>
  <c r="S896" i="5"/>
  <c r="R896" i="5"/>
  <c r="Q896" i="5"/>
  <c r="P896" i="5" s="1"/>
  <c r="M896" i="5"/>
  <c r="L896" i="5"/>
  <c r="X896" i="5" s="1"/>
  <c r="S895" i="5"/>
  <c r="R895" i="5"/>
  <c r="Q895" i="5"/>
  <c r="N895" i="5" s="1"/>
  <c r="M895" i="5"/>
  <c r="L895" i="5"/>
  <c r="S894" i="5"/>
  <c r="R894" i="5"/>
  <c r="Q894" i="5"/>
  <c r="N894" i="5" s="1"/>
  <c r="M894" i="5"/>
  <c r="L894" i="5"/>
  <c r="S893" i="5"/>
  <c r="R893" i="5"/>
  <c r="Q893" i="5"/>
  <c r="N893" i="5" s="1"/>
  <c r="M893" i="5"/>
  <c r="L893" i="5"/>
  <c r="S892" i="5"/>
  <c r="R892" i="5"/>
  <c r="Q892" i="5"/>
  <c r="P892" i="5" s="1"/>
  <c r="M892" i="5"/>
  <c r="L892" i="5"/>
  <c r="S891" i="5"/>
  <c r="R891" i="5"/>
  <c r="Q891" i="5"/>
  <c r="P891" i="5" s="1"/>
  <c r="M891" i="5"/>
  <c r="L891" i="5"/>
  <c r="S890" i="5"/>
  <c r="R890" i="5"/>
  <c r="Q890" i="5"/>
  <c r="N890" i="5" s="1"/>
  <c r="M890" i="5"/>
  <c r="L890" i="5"/>
  <c r="X890" i="5" s="1"/>
  <c r="S889" i="5"/>
  <c r="R889" i="5"/>
  <c r="Q889" i="5"/>
  <c r="N889" i="5" s="1"/>
  <c r="M889" i="5"/>
  <c r="L889" i="5"/>
  <c r="X889" i="5" s="1"/>
  <c r="S888" i="5"/>
  <c r="R888" i="5"/>
  <c r="Q888" i="5"/>
  <c r="M888" i="5"/>
  <c r="L888" i="5"/>
  <c r="S887" i="5"/>
  <c r="R887" i="5"/>
  <c r="Q887" i="5"/>
  <c r="N887" i="5" s="1"/>
  <c r="M887" i="5"/>
  <c r="L887" i="5"/>
  <c r="X887" i="5" s="1"/>
  <c r="S886" i="5"/>
  <c r="R886" i="5"/>
  <c r="Q886" i="5"/>
  <c r="N886" i="5" s="1"/>
  <c r="M886" i="5"/>
  <c r="L886" i="5"/>
  <c r="X886" i="5" s="1"/>
  <c r="S885" i="5"/>
  <c r="R885" i="5"/>
  <c r="Q885" i="5"/>
  <c r="N885" i="5" s="1"/>
  <c r="M885" i="5"/>
  <c r="L885" i="5"/>
  <c r="X885" i="5" s="1"/>
  <c r="S884" i="5"/>
  <c r="R884" i="5"/>
  <c r="Q884" i="5"/>
  <c r="P884" i="5" s="1"/>
  <c r="M884" i="5"/>
  <c r="L884" i="5"/>
  <c r="X884" i="5" s="1"/>
  <c r="S883" i="5"/>
  <c r="R883" i="5"/>
  <c r="Q883" i="5"/>
  <c r="P883" i="5" s="1"/>
  <c r="M883" i="5"/>
  <c r="L883" i="5"/>
  <c r="S882" i="5"/>
  <c r="R882" i="5"/>
  <c r="Q882" i="5"/>
  <c r="N882" i="5" s="1"/>
  <c r="M882" i="5"/>
  <c r="L882" i="5"/>
  <c r="S881" i="5"/>
  <c r="R881" i="5"/>
  <c r="Q881" i="5"/>
  <c r="M881" i="5"/>
  <c r="L881" i="5"/>
  <c r="X881" i="5" s="1"/>
  <c r="S880" i="5"/>
  <c r="R880" i="5"/>
  <c r="Q880" i="5"/>
  <c r="O880" i="5" s="1"/>
  <c r="M880" i="5"/>
  <c r="L880" i="5"/>
  <c r="S879" i="5"/>
  <c r="R879" i="5"/>
  <c r="Q879" i="5"/>
  <c r="O879" i="5" s="1"/>
  <c r="M879" i="5"/>
  <c r="L879" i="5"/>
  <c r="S878" i="5"/>
  <c r="R878" i="5"/>
  <c r="Q878" i="5"/>
  <c r="O878" i="5" s="1"/>
  <c r="M878" i="5"/>
  <c r="L878" i="5"/>
  <c r="S877" i="5"/>
  <c r="R877" i="5"/>
  <c r="Q877" i="5"/>
  <c r="N877" i="5" s="1"/>
  <c r="M877" i="5"/>
  <c r="L877" i="5"/>
  <c r="S876" i="5"/>
  <c r="R876" i="5"/>
  <c r="Q876" i="5"/>
  <c r="M876" i="5"/>
  <c r="L876" i="5"/>
  <c r="S875" i="5"/>
  <c r="R875" i="5"/>
  <c r="Q875" i="5"/>
  <c r="O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S870" i="5"/>
  <c r="R870" i="5"/>
  <c r="Q870" i="5"/>
  <c r="N870" i="5" s="1"/>
  <c r="M870" i="5"/>
  <c r="L870" i="5"/>
  <c r="X870" i="5" s="1"/>
  <c r="S869" i="5"/>
  <c r="R869" i="5"/>
  <c r="Q869" i="5"/>
  <c r="P869" i="5" s="1"/>
  <c r="M869" i="5"/>
  <c r="L869" i="5"/>
  <c r="S868" i="5"/>
  <c r="R868" i="5"/>
  <c r="Q868" i="5"/>
  <c r="P868" i="5" s="1"/>
  <c r="M868" i="5"/>
  <c r="L868" i="5"/>
  <c r="S867" i="5"/>
  <c r="R867" i="5"/>
  <c r="Q867" i="5"/>
  <c r="M867" i="5"/>
  <c r="L867" i="5"/>
  <c r="S866" i="5"/>
  <c r="R866" i="5"/>
  <c r="Q866" i="5"/>
  <c r="N866" i="5" s="1"/>
  <c r="M866" i="5"/>
  <c r="L866" i="5"/>
  <c r="S865" i="5"/>
  <c r="R865" i="5"/>
  <c r="Q865" i="5"/>
  <c r="P865" i="5" s="1"/>
  <c r="M865" i="5"/>
  <c r="L865" i="5"/>
  <c r="S864" i="5"/>
  <c r="R864" i="5"/>
  <c r="Q864" i="5"/>
  <c r="N864" i="5" s="1"/>
  <c r="M864" i="5"/>
  <c r="L864" i="5"/>
  <c r="S863" i="5"/>
  <c r="R863" i="5"/>
  <c r="Q863" i="5"/>
  <c r="O863" i="5" s="1"/>
  <c r="M863" i="5"/>
  <c r="L863" i="5"/>
  <c r="S862" i="5"/>
  <c r="R862" i="5"/>
  <c r="Q862" i="5"/>
  <c r="M862" i="5"/>
  <c r="L862" i="5"/>
  <c r="S861" i="5"/>
  <c r="R861" i="5"/>
  <c r="Q861" i="5"/>
  <c r="N861" i="5" s="1"/>
  <c r="M861" i="5"/>
  <c r="L861" i="5"/>
  <c r="S860" i="5"/>
  <c r="R860" i="5"/>
  <c r="Q860" i="5"/>
  <c r="M860" i="5"/>
  <c r="L860" i="5"/>
  <c r="X860" i="5" s="1"/>
  <c r="S859" i="5"/>
  <c r="R859" i="5"/>
  <c r="Q859" i="5"/>
  <c r="O859" i="5" s="1"/>
  <c r="M859" i="5"/>
  <c r="L859" i="5"/>
  <c r="X859" i="5" s="1"/>
  <c r="S858" i="5"/>
  <c r="R858" i="5"/>
  <c r="Q858" i="5"/>
  <c r="M858" i="5"/>
  <c r="L858" i="5"/>
  <c r="X858" i="5" s="1"/>
  <c r="S857" i="5"/>
  <c r="R857" i="5"/>
  <c r="Q857" i="5"/>
  <c r="P857" i="5" s="1"/>
  <c r="M857" i="5"/>
  <c r="L857" i="5"/>
  <c r="S856" i="5"/>
  <c r="R856" i="5"/>
  <c r="Q856" i="5"/>
  <c r="O856" i="5" s="1"/>
  <c r="M856" i="5"/>
  <c r="L856" i="5"/>
  <c r="S855" i="5"/>
  <c r="R855" i="5"/>
  <c r="Q855" i="5"/>
  <c r="N855" i="5" s="1"/>
  <c r="M855" i="5"/>
  <c r="L855" i="5"/>
  <c r="S854" i="5"/>
  <c r="R854" i="5"/>
  <c r="Q854" i="5"/>
  <c r="M854" i="5"/>
  <c r="L854" i="5"/>
  <c r="S853" i="5"/>
  <c r="R853" i="5"/>
  <c r="Q853" i="5"/>
  <c r="O853" i="5" s="1"/>
  <c r="M853" i="5"/>
  <c r="L853" i="5"/>
  <c r="S852" i="5"/>
  <c r="R852" i="5"/>
  <c r="Q852" i="5"/>
  <c r="P852" i="5" s="1"/>
  <c r="M852" i="5"/>
  <c r="L852" i="5"/>
  <c r="S851" i="5"/>
  <c r="R851" i="5"/>
  <c r="Q851" i="5"/>
  <c r="M851" i="5"/>
  <c r="L851" i="5"/>
  <c r="S850" i="5"/>
  <c r="R850" i="5"/>
  <c r="Q850" i="5"/>
  <c r="M850" i="5"/>
  <c r="L850" i="5"/>
  <c r="S849" i="5"/>
  <c r="R849" i="5"/>
  <c r="Q849" i="5"/>
  <c r="M849" i="5"/>
  <c r="L849" i="5"/>
  <c r="S848" i="5"/>
  <c r="R848" i="5"/>
  <c r="Q848" i="5"/>
  <c r="P848" i="5" s="1"/>
  <c r="M848" i="5"/>
  <c r="L848" i="5"/>
  <c r="S847" i="5"/>
  <c r="R847" i="5"/>
  <c r="Q847" i="5"/>
  <c r="O847" i="5" s="1"/>
  <c r="M847" i="5"/>
  <c r="L847" i="5"/>
  <c r="X847" i="5" s="1"/>
  <c r="S846" i="5"/>
  <c r="R846" i="5"/>
  <c r="Q846" i="5"/>
  <c r="O846" i="5" s="1"/>
  <c r="M846" i="5"/>
  <c r="L846" i="5"/>
  <c r="S845" i="5"/>
  <c r="R845" i="5"/>
  <c r="Q845" i="5"/>
  <c r="P845" i="5" s="1"/>
  <c r="M845" i="5"/>
  <c r="L845" i="5"/>
  <c r="S844" i="5"/>
  <c r="R844" i="5"/>
  <c r="Q844" i="5"/>
  <c r="M844" i="5"/>
  <c r="L844" i="5"/>
  <c r="S843" i="5"/>
  <c r="R843" i="5"/>
  <c r="Q843" i="5"/>
  <c r="M843" i="5"/>
  <c r="L843" i="5"/>
  <c r="S842" i="5"/>
  <c r="R842" i="5"/>
  <c r="Q842" i="5"/>
  <c r="M842" i="5"/>
  <c r="L842" i="5"/>
  <c r="S841" i="5"/>
  <c r="R841" i="5"/>
  <c r="Q841" i="5"/>
  <c r="O841" i="5" s="1"/>
  <c r="M841" i="5"/>
  <c r="L841" i="5"/>
  <c r="S840" i="5"/>
  <c r="R840" i="5"/>
  <c r="Q840" i="5"/>
  <c r="N840" i="5" s="1"/>
  <c r="M840" i="5"/>
  <c r="L840" i="5"/>
  <c r="S839" i="5"/>
  <c r="R839" i="5"/>
  <c r="Q839" i="5"/>
  <c r="M839" i="5"/>
  <c r="L839" i="5"/>
  <c r="X839" i="5" s="1"/>
  <c r="S838" i="5"/>
  <c r="R838" i="5"/>
  <c r="Q838" i="5"/>
  <c r="N838" i="5" s="1"/>
  <c r="M838" i="5"/>
  <c r="L838" i="5"/>
  <c r="S837" i="5"/>
  <c r="R837" i="5"/>
  <c r="Q837" i="5"/>
  <c r="P837" i="5" s="1"/>
  <c r="M837" i="5"/>
  <c r="L837" i="5"/>
  <c r="S836" i="5"/>
  <c r="R836" i="5"/>
  <c r="Q836" i="5"/>
  <c r="P836" i="5" s="1"/>
  <c r="M836" i="5"/>
  <c r="L836" i="5"/>
  <c r="S835" i="5"/>
  <c r="R835" i="5"/>
  <c r="Q835" i="5"/>
  <c r="N835" i="5" s="1"/>
  <c r="M835" i="5"/>
  <c r="L835" i="5"/>
  <c r="S834" i="5"/>
  <c r="R834" i="5"/>
  <c r="Q834" i="5"/>
  <c r="N834" i="5" s="1"/>
  <c r="M834" i="5"/>
  <c r="L834" i="5"/>
  <c r="S833" i="5"/>
  <c r="R833" i="5"/>
  <c r="Q833" i="5"/>
  <c r="P833" i="5" s="1"/>
  <c r="M833" i="5"/>
  <c r="L833" i="5"/>
  <c r="S832" i="5"/>
  <c r="R832" i="5"/>
  <c r="Q832" i="5"/>
  <c r="M832" i="5"/>
  <c r="L832" i="5"/>
  <c r="X832" i="5" s="1"/>
  <c r="S831" i="5"/>
  <c r="R831" i="5"/>
  <c r="Q831" i="5"/>
  <c r="N831" i="5" s="1"/>
  <c r="M831" i="5"/>
  <c r="L831" i="5"/>
  <c r="S830" i="5"/>
  <c r="R830" i="5"/>
  <c r="Q830" i="5"/>
  <c r="N830" i="5" s="1"/>
  <c r="M830" i="5"/>
  <c r="L830" i="5"/>
  <c r="S829" i="5"/>
  <c r="R829" i="5"/>
  <c r="Q829" i="5"/>
  <c r="N829" i="5" s="1"/>
  <c r="M829" i="5"/>
  <c r="L829" i="5"/>
  <c r="S828" i="5"/>
  <c r="R828" i="5"/>
  <c r="Q828" i="5"/>
  <c r="M828" i="5"/>
  <c r="L828" i="5"/>
  <c r="S827" i="5"/>
  <c r="R827" i="5"/>
  <c r="Q827" i="5"/>
  <c r="P827" i="5" s="1"/>
  <c r="M827" i="5"/>
  <c r="L827" i="5"/>
  <c r="S826" i="5"/>
  <c r="R826" i="5"/>
  <c r="Q826" i="5"/>
  <c r="O826" i="5" s="1"/>
  <c r="M826" i="5"/>
  <c r="L826" i="5"/>
  <c r="S825" i="5"/>
  <c r="R825" i="5"/>
  <c r="Q825" i="5"/>
  <c r="M825" i="5"/>
  <c r="L825" i="5"/>
  <c r="S824" i="5"/>
  <c r="R824" i="5"/>
  <c r="Q824" i="5"/>
  <c r="N824" i="5" s="1"/>
  <c r="M824" i="5"/>
  <c r="L824" i="5"/>
  <c r="S823" i="5"/>
  <c r="R823" i="5"/>
  <c r="Q823" i="5"/>
  <c r="P823" i="5" s="1"/>
  <c r="M823" i="5"/>
  <c r="L823" i="5"/>
  <c r="X823" i="5" s="1"/>
  <c r="S822" i="5"/>
  <c r="R822" i="5"/>
  <c r="Q822" i="5"/>
  <c r="P822" i="5" s="1"/>
  <c r="M822" i="5"/>
  <c r="L822" i="5"/>
  <c r="X822" i="5" s="1"/>
  <c r="S821" i="5"/>
  <c r="R821" i="5"/>
  <c r="Q821" i="5"/>
  <c r="N821" i="5" s="1"/>
  <c r="M821" i="5"/>
  <c r="L821" i="5"/>
  <c r="S820" i="5"/>
  <c r="R820" i="5"/>
  <c r="Q820" i="5"/>
  <c r="P820" i="5" s="1"/>
  <c r="M820" i="5"/>
  <c r="L820" i="5"/>
  <c r="S819" i="5"/>
  <c r="R819" i="5"/>
  <c r="Q819" i="5"/>
  <c r="M819" i="5"/>
  <c r="L819" i="5"/>
  <c r="X819" i="5" s="1"/>
  <c r="S818" i="5"/>
  <c r="R818" i="5"/>
  <c r="Q818" i="5"/>
  <c r="N818" i="5" s="1"/>
  <c r="M818" i="5"/>
  <c r="L818" i="5"/>
  <c r="S817" i="5"/>
  <c r="R817" i="5"/>
  <c r="Q817" i="5"/>
  <c r="N817" i="5" s="1"/>
  <c r="M817" i="5"/>
  <c r="L817" i="5"/>
  <c r="S816" i="5"/>
  <c r="R816" i="5"/>
  <c r="Q816" i="5"/>
  <c r="M816" i="5"/>
  <c r="L816" i="5"/>
  <c r="X816" i="5" s="1"/>
  <c r="S815" i="5"/>
  <c r="R815" i="5"/>
  <c r="Q815" i="5"/>
  <c r="P815" i="5" s="1"/>
  <c r="M815" i="5"/>
  <c r="L815" i="5"/>
  <c r="X815" i="5" s="1"/>
  <c r="S814" i="5"/>
  <c r="R814" i="5"/>
  <c r="Q814" i="5"/>
  <c r="P814" i="5" s="1"/>
  <c r="M814" i="5"/>
  <c r="L814" i="5"/>
  <c r="S813" i="5"/>
  <c r="R813" i="5"/>
  <c r="Q813" i="5"/>
  <c r="N813" i="5" s="1"/>
  <c r="M813" i="5"/>
  <c r="L813" i="5"/>
  <c r="S812" i="5"/>
  <c r="R812" i="5"/>
  <c r="Q812" i="5"/>
  <c r="P812" i="5" s="1"/>
  <c r="M812" i="5"/>
  <c r="L812" i="5"/>
  <c r="S811" i="5"/>
  <c r="R811" i="5"/>
  <c r="Q811" i="5"/>
  <c r="P811" i="5" s="1"/>
  <c r="M811" i="5"/>
  <c r="L811" i="5"/>
  <c r="S810" i="5"/>
  <c r="R810" i="5"/>
  <c r="Q810" i="5"/>
  <c r="N810" i="5" s="1"/>
  <c r="M810" i="5"/>
  <c r="L810" i="5"/>
  <c r="S809" i="5"/>
  <c r="R809" i="5"/>
  <c r="Q809" i="5"/>
  <c r="N809" i="5" s="1"/>
  <c r="M809" i="5"/>
  <c r="L809" i="5"/>
  <c r="X809" i="5" s="1"/>
  <c r="S808" i="5"/>
  <c r="R808" i="5"/>
  <c r="Q808" i="5"/>
  <c r="P808" i="5" s="1"/>
  <c r="M808" i="5"/>
  <c r="L808" i="5"/>
  <c r="X808" i="5" s="1"/>
  <c r="S807" i="5"/>
  <c r="R807" i="5"/>
  <c r="Q807" i="5"/>
  <c r="P807" i="5" s="1"/>
  <c r="M807" i="5"/>
  <c r="L807" i="5"/>
  <c r="S806" i="5"/>
  <c r="R806" i="5"/>
  <c r="Q806" i="5"/>
  <c r="M806" i="5"/>
  <c r="L806" i="5"/>
  <c r="S805" i="5"/>
  <c r="R805" i="5"/>
  <c r="Q805" i="5"/>
  <c r="N805" i="5" s="1"/>
  <c r="M805" i="5"/>
  <c r="L805" i="5"/>
  <c r="S804" i="5"/>
  <c r="R804" i="5"/>
  <c r="Q804" i="5"/>
  <c r="P804" i="5" s="1"/>
  <c r="M804" i="5"/>
  <c r="L804" i="5"/>
  <c r="S803" i="5"/>
  <c r="R803" i="5"/>
  <c r="Q803" i="5"/>
  <c r="P803" i="5" s="1"/>
  <c r="M803" i="5"/>
  <c r="L803" i="5"/>
  <c r="X803" i="5" s="1"/>
  <c r="S802" i="5"/>
  <c r="R802" i="5"/>
  <c r="Q802" i="5"/>
  <c r="N802" i="5" s="1"/>
  <c r="M802" i="5"/>
  <c r="L802" i="5"/>
  <c r="S801" i="5"/>
  <c r="R801" i="5"/>
  <c r="Q801" i="5"/>
  <c r="N801" i="5" s="1"/>
  <c r="M801" i="5"/>
  <c r="L801" i="5"/>
  <c r="S800" i="5"/>
  <c r="R800" i="5"/>
  <c r="Q800" i="5"/>
  <c r="P800" i="5" s="1"/>
  <c r="M800" i="5"/>
  <c r="L800" i="5"/>
  <c r="S799" i="5"/>
  <c r="R799" i="5"/>
  <c r="Q799" i="5"/>
  <c r="P799" i="5" s="1"/>
  <c r="M799" i="5"/>
  <c r="L799" i="5"/>
  <c r="S798" i="5"/>
  <c r="R798" i="5"/>
  <c r="Q798" i="5"/>
  <c r="P798" i="5" s="1"/>
  <c r="M798" i="5"/>
  <c r="L798" i="5"/>
  <c r="S797" i="5"/>
  <c r="R797" i="5"/>
  <c r="Q797" i="5"/>
  <c r="M797" i="5"/>
  <c r="L797" i="5"/>
  <c r="S796" i="5"/>
  <c r="R796" i="5"/>
  <c r="Q796" i="5"/>
  <c r="P796" i="5" s="1"/>
  <c r="M796" i="5"/>
  <c r="L796" i="5"/>
  <c r="S795" i="5"/>
  <c r="R795" i="5"/>
  <c r="Q795" i="5"/>
  <c r="P795" i="5" s="1"/>
  <c r="M795" i="5"/>
  <c r="L795" i="5"/>
  <c r="S794" i="5"/>
  <c r="R794" i="5"/>
  <c r="Q794" i="5"/>
  <c r="M794" i="5"/>
  <c r="L794" i="5"/>
  <c r="X794" i="5" s="1"/>
  <c r="S793" i="5"/>
  <c r="R793" i="5"/>
  <c r="Q793" i="5"/>
  <c r="M793" i="5"/>
  <c r="L793" i="5"/>
  <c r="S792" i="5"/>
  <c r="R792" i="5"/>
  <c r="Q792" i="5"/>
  <c r="P792" i="5" s="1"/>
  <c r="M792" i="5"/>
  <c r="L792" i="5"/>
  <c r="S791" i="5"/>
  <c r="R791" i="5"/>
  <c r="Q791" i="5"/>
  <c r="P791" i="5" s="1"/>
  <c r="M791" i="5"/>
  <c r="L791" i="5"/>
  <c r="S790" i="5"/>
  <c r="R790" i="5"/>
  <c r="Q790" i="5"/>
  <c r="N790" i="5" s="1"/>
  <c r="M790" i="5"/>
  <c r="L790" i="5"/>
  <c r="X790" i="5" s="1"/>
  <c r="S789" i="5"/>
  <c r="R789" i="5"/>
  <c r="Q789" i="5"/>
  <c r="N789" i="5" s="1"/>
  <c r="M789" i="5"/>
  <c r="L789" i="5"/>
  <c r="S788" i="5"/>
  <c r="R788" i="5"/>
  <c r="Q788" i="5"/>
  <c r="M788" i="5"/>
  <c r="L788" i="5"/>
  <c r="S787" i="5"/>
  <c r="R787" i="5"/>
  <c r="Q787" i="5"/>
  <c r="M787" i="5"/>
  <c r="L787" i="5"/>
  <c r="S786" i="5"/>
  <c r="R786" i="5"/>
  <c r="Q786" i="5"/>
  <c r="O786" i="5" s="1"/>
  <c r="M786" i="5"/>
  <c r="L786" i="5"/>
  <c r="S785" i="5"/>
  <c r="R785" i="5"/>
  <c r="Q785" i="5"/>
  <c r="M785" i="5"/>
  <c r="L785" i="5"/>
  <c r="S784" i="5"/>
  <c r="R784" i="5"/>
  <c r="Q784" i="5"/>
  <c r="P784" i="5" s="1"/>
  <c r="M784" i="5"/>
  <c r="L784" i="5"/>
  <c r="X784" i="5" s="1"/>
  <c r="S783" i="5"/>
  <c r="R783" i="5"/>
  <c r="Q783" i="5"/>
  <c r="M783" i="5"/>
  <c r="L783" i="5"/>
  <c r="X783" i="5" s="1"/>
  <c r="S782" i="5"/>
  <c r="R782" i="5"/>
  <c r="Q782" i="5"/>
  <c r="M782" i="5"/>
  <c r="L782" i="5"/>
  <c r="X782" i="5" s="1"/>
  <c r="S781" i="5"/>
  <c r="R781" i="5"/>
  <c r="Q781" i="5"/>
  <c r="N781" i="5" s="1"/>
  <c r="M781" i="5"/>
  <c r="L781" i="5"/>
  <c r="S780" i="5"/>
  <c r="R780" i="5"/>
  <c r="Q780" i="5"/>
  <c r="O780" i="5" s="1"/>
  <c r="M780" i="5"/>
  <c r="L780" i="5"/>
  <c r="S779" i="5"/>
  <c r="R779" i="5"/>
  <c r="Q779" i="5"/>
  <c r="M779" i="5"/>
  <c r="L779" i="5"/>
  <c r="S778" i="5"/>
  <c r="R778" i="5"/>
  <c r="Q778" i="5"/>
  <c r="N778" i="5" s="1"/>
  <c r="M778" i="5"/>
  <c r="L778" i="5"/>
  <c r="X778" i="5" s="1"/>
  <c r="S777" i="5"/>
  <c r="R777" i="5"/>
  <c r="Q777" i="5"/>
  <c r="N777" i="5" s="1"/>
  <c r="M777" i="5"/>
  <c r="L777" i="5"/>
  <c r="S776" i="5"/>
  <c r="R776" i="5"/>
  <c r="Q776" i="5"/>
  <c r="P776" i="5" s="1"/>
  <c r="M776" i="5"/>
  <c r="L776" i="5"/>
  <c r="S775" i="5"/>
  <c r="R775" i="5"/>
  <c r="Q775" i="5"/>
  <c r="N775" i="5" s="1"/>
  <c r="M775" i="5"/>
  <c r="L775" i="5"/>
  <c r="S774" i="5"/>
  <c r="R774" i="5"/>
  <c r="Q774" i="5"/>
  <c r="N774" i="5" s="1"/>
  <c r="M774" i="5"/>
  <c r="L774" i="5"/>
  <c r="S773" i="5"/>
  <c r="R773" i="5"/>
  <c r="Q773" i="5"/>
  <c r="N773" i="5" s="1"/>
  <c r="M773" i="5"/>
  <c r="L773" i="5"/>
  <c r="S772" i="5"/>
  <c r="R772" i="5"/>
  <c r="Q772" i="5"/>
  <c r="O772" i="5" s="1"/>
  <c r="M772" i="5"/>
  <c r="L772" i="5"/>
  <c r="S771" i="5"/>
  <c r="R771" i="5"/>
  <c r="Q771" i="5"/>
  <c r="M771" i="5"/>
  <c r="L771" i="5"/>
  <c r="X771" i="5" s="1"/>
  <c r="S770" i="5"/>
  <c r="R770" i="5"/>
  <c r="Q770" i="5"/>
  <c r="O770" i="5" s="1"/>
  <c r="M770" i="5"/>
  <c r="L770" i="5"/>
  <c r="S769" i="5"/>
  <c r="R769" i="5"/>
  <c r="Q769" i="5"/>
  <c r="N769" i="5" s="1"/>
  <c r="M769" i="5"/>
  <c r="L769" i="5"/>
  <c r="S768" i="5"/>
  <c r="R768" i="5"/>
  <c r="Q768" i="5"/>
  <c r="O768" i="5" s="1"/>
  <c r="M768" i="5"/>
  <c r="L768" i="5"/>
  <c r="S767" i="5"/>
  <c r="R767" i="5"/>
  <c r="Q767" i="5"/>
  <c r="N767" i="5" s="1"/>
  <c r="M767" i="5"/>
  <c r="L767" i="5"/>
  <c r="S766" i="5"/>
  <c r="R766" i="5"/>
  <c r="Q766" i="5"/>
  <c r="O766" i="5" s="1"/>
  <c r="M766" i="5"/>
  <c r="L766" i="5"/>
  <c r="S765" i="5"/>
  <c r="R765" i="5"/>
  <c r="Q765" i="5"/>
  <c r="O765" i="5" s="1"/>
  <c r="M765" i="5"/>
  <c r="L765" i="5"/>
  <c r="S764" i="5"/>
  <c r="R764" i="5"/>
  <c r="Q764" i="5"/>
  <c r="O764" i="5" s="1"/>
  <c r="M764" i="5"/>
  <c r="L764" i="5"/>
  <c r="S763" i="5"/>
  <c r="R763" i="5"/>
  <c r="Q763" i="5"/>
  <c r="N763" i="5" s="1"/>
  <c r="M763" i="5"/>
  <c r="L763" i="5"/>
  <c r="S762" i="5"/>
  <c r="R762" i="5"/>
  <c r="Q762" i="5"/>
  <c r="O762" i="5" s="1"/>
  <c r="M762" i="5"/>
  <c r="L762" i="5"/>
  <c r="S761" i="5"/>
  <c r="R761" i="5"/>
  <c r="Q761" i="5"/>
  <c r="N761" i="5" s="1"/>
  <c r="M761" i="5"/>
  <c r="L761" i="5"/>
  <c r="S760" i="5"/>
  <c r="R760" i="5"/>
  <c r="Q760" i="5"/>
  <c r="O760" i="5" s="1"/>
  <c r="M760" i="5"/>
  <c r="L760" i="5"/>
  <c r="S759" i="5"/>
  <c r="R759" i="5"/>
  <c r="Q759" i="5"/>
  <c r="N759" i="5" s="1"/>
  <c r="M759" i="5"/>
  <c r="L759" i="5"/>
  <c r="X759" i="5" s="1"/>
  <c r="S758" i="5"/>
  <c r="R758" i="5"/>
  <c r="Q758" i="5"/>
  <c r="O758" i="5" s="1"/>
  <c r="M758" i="5"/>
  <c r="L758" i="5"/>
  <c r="S757" i="5"/>
  <c r="R757" i="5"/>
  <c r="Q757" i="5"/>
  <c r="P757" i="5" s="1"/>
  <c r="M757" i="5"/>
  <c r="L757" i="5"/>
  <c r="S756" i="5"/>
  <c r="R756" i="5"/>
  <c r="Q756" i="5"/>
  <c r="O756" i="5" s="1"/>
  <c r="M756" i="5"/>
  <c r="L756" i="5"/>
  <c r="S755" i="5"/>
  <c r="R755" i="5"/>
  <c r="Q755" i="5"/>
  <c r="O755" i="5" s="1"/>
  <c r="M755" i="5"/>
  <c r="L755" i="5"/>
  <c r="S754" i="5"/>
  <c r="R754" i="5"/>
  <c r="Q754" i="5"/>
  <c r="O754" i="5" s="1"/>
  <c r="M754" i="5"/>
  <c r="L754" i="5"/>
  <c r="S753" i="5"/>
  <c r="R753" i="5"/>
  <c r="Q753" i="5"/>
  <c r="N753" i="5" s="1"/>
  <c r="M753" i="5"/>
  <c r="L753" i="5"/>
  <c r="S752" i="5"/>
  <c r="R752" i="5"/>
  <c r="Q752" i="5"/>
  <c r="O752" i="5" s="1"/>
  <c r="M752" i="5"/>
  <c r="L752" i="5"/>
  <c r="S751" i="5"/>
  <c r="R751" i="5"/>
  <c r="Q751" i="5"/>
  <c r="M751" i="5"/>
  <c r="L751" i="5"/>
  <c r="S750" i="5"/>
  <c r="R750" i="5"/>
  <c r="Q750" i="5"/>
  <c r="O750" i="5" s="1"/>
  <c r="M750" i="5"/>
  <c r="L750" i="5"/>
  <c r="S749" i="5"/>
  <c r="R749" i="5"/>
  <c r="Q749" i="5"/>
  <c r="N749" i="5" s="1"/>
  <c r="M749" i="5"/>
  <c r="L749" i="5"/>
  <c r="S748" i="5"/>
  <c r="R748" i="5"/>
  <c r="Q748" i="5"/>
  <c r="O748" i="5" s="1"/>
  <c r="M748" i="5"/>
  <c r="L748" i="5"/>
  <c r="S747" i="5"/>
  <c r="R747" i="5"/>
  <c r="Q747" i="5"/>
  <c r="N747" i="5" s="1"/>
  <c r="M747" i="5"/>
  <c r="L747" i="5"/>
  <c r="X747" i="5" s="1"/>
  <c r="S746" i="5"/>
  <c r="R746" i="5"/>
  <c r="Q746" i="5"/>
  <c r="O746" i="5" s="1"/>
  <c r="M746" i="5"/>
  <c r="L746" i="5"/>
  <c r="S745" i="5"/>
  <c r="R745" i="5"/>
  <c r="Q745" i="5"/>
  <c r="M745" i="5"/>
  <c r="L745" i="5"/>
  <c r="S744" i="5"/>
  <c r="R744" i="5"/>
  <c r="Q744" i="5"/>
  <c r="O744" i="5" s="1"/>
  <c r="M744" i="5"/>
  <c r="L744" i="5"/>
  <c r="S743" i="5"/>
  <c r="R743" i="5"/>
  <c r="Q743" i="5"/>
  <c r="P743" i="5" s="1"/>
  <c r="M743" i="5"/>
  <c r="L743" i="5"/>
  <c r="S742" i="5"/>
  <c r="R742" i="5"/>
  <c r="Q742" i="5"/>
  <c r="O742" i="5" s="1"/>
  <c r="M742" i="5"/>
  <c r="L742" i="5"/>
  <c r="S741" i="5"/>
  <c r="R741" i="5"/>
  <c r="Q741" i="5"/>
  <c r="O741" i="5" s="1"/>
  <c r="M741" i="5"/>
  <c r="L741" i="5"/>
  <c r="S740" i="5"/>
  <c r="R740" i="5"/>
  <c r="Q740" i="5"/>
  <c r="P740" i="5" s="1"/>
  <c r="M740" i="5"/>
  <c r="L740" i="5"/>
  <c r="S739" i="5"/>
  <c r="R739" i="5"/>
  <c r="Q739" i="5"/>
  <c r="O739" i="5" s="1"/>
  <c r="M739" i="5"/>
  <c r="L739" i="5"/>
  <c r="S738" i="5"/>
  <c r="R738" i="5"/>
  <c r="Q738" i="5"/>
  <c r="M738" i="5"/>
  <c r="L738" i="5"/>
  <c r="X738" i="5" s="1"/>
  <c r="S737" i="5"/>
  <c r="R737" i="5"/>
  <c r="Q737" i="5"/>
  <c r="O737" i="5" s="1"/>
  <c r="M737" i="5"/>
  <c r="L737" i="5"/>
  <c r="S736" i="5"/>
  <c r="R736" i="5"/>
  <c r="Q736" i="5"/>
  <c r="P736" i="5" s="1"/>
  <c r="M736" i="5"/>
  <c r="L736" i="5"/>
  <c r="S735" i="5"/>
  <c r="R735" i="5"/>
  <c r="Q735" i="5"/>
  <c r="O735" i="5" s="1"/>
  <c r="M735" i="5"/>
  <c r="L735" i="5"/>
  <c r="S734" i="5"/>
  <c r="R734" i="5"/>
  <c r="Q734" i="5"/>
  <c r="M734" i="5"/>
  <c r="L734" i="5"/>
  <c r="X734" i="5" s="1"/>
  <c r="S733" i="5"/>
  <c r="R733" i="5"/>
  <c r="Q733" i="5"/>
  <c r="M733" i="5"/>
  <c r="L733" i="5"/>
  <c r="S732" i="5"/>
  <c r="R732" i="5"/>
  <c r="Q732" i="5"/>
  <c r="N732" i="5" s="1"/>
  <c r="M732" i="5"/>
  <c r="L732" i="5"/>
  <c r="S731" i="5"/>
  <c r="R731" i="5"/>
  <c r="Q731" i="5"/>
  <c r="N731" i="5" s="1"/>
  <c r="M731" i="5"/>
  <c r="L731" i="5"/>
  <c r="S730" i="5"/>
  <c r="R730" i="5"/>
  <c r="Q730" i="5"/>
  <c r="P730" i="5" s="1"/>
  <c r="M730" i="5"/>
  <c r="L730" i="5"/>
  <c r="S729" i="5"/>
  <c r="R729" i="5"/>
  <c r="Q729" i="5"/>
  <c r="P729" i="5" s="1"/>
  <c r="M729" i="5"/>
  <c r="L729" i="5"/>
  <c r="S728" i="5"/>
  <c r="R728" i="5"/>
  <c r="Q728" i="5"/>
  <c r="M728" i="5"/>
  <c r="L728" i="5"/>
  <c r="S727" i="5"/>
  <c r="R727" i="5"/>
  <c r="Q727" i="5"/>
  <c r="M727" i="5"/>
  <c r="L727" i="5"/>
  <c r="S726" i="5"/>
  <c r="R726" i="5"/>
  <c r="Q726" i="5"/>
  <c r="M726" i="5"/>
  <c r="L726" i="5"/>
  <c r="S725" i="5"/>
  <c r="R725" i="5"/>
  <c r="Q725" i="5"/>
  <c r="M725" i="5"/>
  <c r="L725" i="5"/>
  <c r="S724" i="5"/>
  <c r="R724" i="5"/>
  <c r="Q724" i="5"/>
  <c r="P724" i="5" s="1"/>
  <c r="M724" i="5"/>
  <c r="L724" i="5"/>
  <c r="X724" i="5" s="1"/>
  <c r="S723" i="5"/>
  <c r="R723" i="5"/>
  <c r="Q723" i="5"/>
  <c r="P723" i="5" s="1"/>
  <c r="M723" i="5"/>
  <c r="L723" i="5"/>
  <c r="X723" i="5" s="1"/>
  <c r="S722" i="5"/>
  <c r="R722" i="5"/>
  <c r="Q722" i="5"/>
  <c r="P722" i="5" s="1"/>
  <c r="M722" i="5"/>
  <c r="L722" i="5"/>
  <c r="X722" i="5" s="1"/>
  <c r="S721" i="5"/>
  <c r="R721" i="5"/>
  <c r="Q721" i="5"/>
  <c r="P721" i="5" s="1"/>
  <c r="M721" i="5"/>
  <c r="L721" i="5"/>
  <c r="S720" i="5"/>
  <c r="R720" i="5"/>
  <c r="Q720" i="5"/>
  <c r="P720" i="5" s="1"/>
  <c r="M720" i="5"/>
  <c r="L720" i="5"/>
  <c r="X720" i="5" s="1"/>
  <c r="S719" i="5"/>
  <c r="R719" i="5"/>
  <c r="Q719" i="5"/>
  <c r="P719" i="5" s="1"/>
  <c r="M719" i="5"/>
  <c r="L719" i="5"/>
  <c r="X719" i="5" s="1"/>
  <c r="S718" i="5"/>
  <c r="R718" i="5"/>
  <c r="Q718" i="5"/>
  <c r="P718" i="5" s="1"/>
  <c r="M718" i="5"/>
  <c r="L718" i="5"/>
  <c r="X718" i="5" s="1"/>
  <c r="S717" i="5"/>
  <c r="R717" i="5"/>
  <c r="Q717" i="5"/>
  <c r="P717" i="5" s="1"/>
  <c r="M717" i="5"/>
  <c r="L717" i="5"/>
  <c r="S716" i="5"/>
  <c r="R716" i="5"/>
  <c r="Q716" i="5"/>
  <c r="M716" i="5"/>
  <c r="L716" i="5"/>
  <c r="S715" i="5"/>
  <c r="R715" i="5"/>
  <c r="Q715" i="5"/>
  <c r="M715" i="5"/>
  <c r="L715" i="5"/>
  <c r="S714" i="5"/>
  <c r="R714" i="5"/>
  <c r="Q714" i="5"/>
  <c r="P714" i="5" s="1"/>
  <c r="M714" i="5"/>
  <c r="L714" i="5"/>
  <c r="S713" i="5"/>
  <c r="R713" i="5"/>
  <c r="Q713" i="5"/>
  <c r="N713" i="5" s="1"/>
  <c r="M713" i="5"/>
  <c r="L713" i="5"/>
  <c r="S712" i="5"/>
  <c r="R712" i="5"/>
  <c r="Q712" i="5"/>
  <c r="P712" i="5" s="1"/>
  <c r="M712" i="5"/>
  <c r="L712" i="5"/>
  <c r="S711" i="5"/>
  <c r="R711" i="5"/>
  <c r="Q711" i="5"/>
  <c r="M711" i="5"/>
  <c r="L711" i="5"/>
  <c r="S710" i="5"/>
  <c r="R710" i="5"/>
  <c r="Q710" i="5"/>
  <c r="P710" i="5" s="1"/>
  <c r="M710" i="5"/>
  <c r="L710" i="5"/>
  <c r="X710" i="5" s="1"/>
  <c r="S709" i="5"/>
  <c r="R709" i="5"/>
  <c r="Q709" i="5"/>
  <c r="N709" i="5" s="1"/>
  <c r="M709" i="5"/>
  <c r="L709" i="5"/>
  <c r="S708" i="5"/>
  <c r="R708" i="5"/>
  <c r="Q708" i="5"/>
  <c r="P708" i="5" s="1"/>
  <c r="M708" i="5"/>
  <c r="L708" i="5"/>
  <c r="X708" i="5" s="1"/>
  <c r="S707" i="5"/>
  <c r="R707" i="5"/>
  <c r="Q707" i="5"/>
  <c r="N707" i="5" s="1"/>
  <c r="M707" i="5"/>
  <c r="L707" i="5"/>
  <c r="S706" i="5"/>
  <c r="R706" i="5"/>
  <c r="Q706" i="5"/>
  <c r="M706" i="5"/>
  <c r="L706" i="5"/>
  <c r="X706" i="5" s="1"/>
  <c r="S705" i="5"/>
  <c r="R705" i="5"/>
  <c r="Q705" i="5"/>
  <c r="N705" i="5" s="1"/>
  <c r="M705" i="5"/>
  <c r="L705" i="5"/>
  <c r="S704" i="5"/>
  <c r="R704" i="5"/>
  <c r="Q704" i="5"/>
  <c r="P704" i="5" s="1"/>
  <c r="M704" i="5"/>
  <c r="L704" i="5"/>
  <c r="X704" i="5" s="1"/>
  <c r="S703" i="5"/>
  <c r="R703" i="5"/>
  <c r="Q703" i="5"/>
  <c r="M703" i="5"/>
  <c r="L703" i="5"/>
  <c r="S702" i="5"/>
  <c r="R702" i="5"/>
  <c r="Q702" i="5"/>
  <c r="P702" i="5" s="1"/>
  <c r="M702" i="5"/>
  <c r="L702" i="5"/>
  <c r="X702" i="5" s="1"/>
  <c r="S701" i="5"/>
  <c r="R701" i="5"/>
  <c r="Q701" i="5"/>
  <c r="N701" i="5" s="1"/>
  <c r="M701" i="5"/>
  <c r="L701" i="5"/>
  <c r="S700" i="5"/>
  <c r="R700" i="5"/>
  <c r="Q700" i="5"/>
  <c r="P700" i="5" s="1"/>
  <c r="M700" i="5"/>
  <c r="L700" i="5"/>
  <c r="S699" i="5"/>
  <c r="R699" i="5"/>
  <c r="Q699" i="5"/>
  <c r="N699" i="5" s="1"/>
  <c r="M699" i="5"/>
  <c r="L699" i="5"/>
  <c r="S698" i="5"/>
  <c r="R698" i="5"/>
  <c r="Q698" i="5"/>
  <c r="P698" i="5" s="1"/>
  <c r="M698" i="5"/>
  <c r="L698" i="5"/>
  <c r="S697" i="5"/>
  <c r="R697" i="5"/>
  <c r="Q697" i="5"/>
  <c r="M697" i="5"/>
  <c r="L697" i="5"/>
  <c r="X697" i="5" s="1"/>
  <c r="S696" i="5"/>
  <c r="R696" i="5"/>
  <c r="Q696" i="5"/>
  <c r="P696" i="5" s="1"/>
  <c r="M696" i="5"/>
  <c r="U696" i="5"/>
  <c r="S695" i="5"/>
  <c r="R695" i="5"/>
  <c r="Q695" i="5"/>
  <c r="N695" i="5" s="1"/>
  <c r="M695" i="5"/>
  <c r="L695" i="5"/>
  <c r="S694" i="5"/>
  <c r="R694" i="5"/>
  <c r="Q694" i="5"/>
  <c r="P694" i="5" s="1"/>
  <c r="M694" i="5"/>
  <c r="L694" i="5"/>
  <c r="S693" i="5"/>
  <c r="R693" i="5"/>
  <c r="Q693" i="5"/>
  <c r="N693" i="5" s="1"/>
  <c r="M693" i="5"/>
  <c r="L693" i="5"/>
  <c r="S692" i="5"/>
  <c r="R692" i="5"/>
  <c r="Q692" i="5"/>
  <c r="P692" i="5" s="1"/>
  <c r="M692" i="5"/>
  <c r="L692" i="5"/>
  <c r="X692" i="5" s="1"/>
  <c r="S691" i="5"/>
  <c r="R691" i="5"/>
  <c r="Q691" i="5"/>
  <c r="M691" i="5"/>
  <c r="L691" i="5"/>
  <c r="S690" i="5"/>
  <c r="R690" i="5"/>
  <c r="Q690" i="5"/>
  <c r="P690" i="5" s="1"/>
  <c r="M690" i="5"/>
  <c r="L690" i="5"/>
  <c r="S689" i="5"/>
  <c r="R689" i="5"/>
  <c r="Q689" i="5"/>
  <c r="N689" i="5" s="1"/>
  <c r="M689" i="5"/>
  <c r="L689" i="5"/>
  <c r="S688" i="5"/>
  <c r="R688" i="5"/>
  <c r="Q688" i="5"/>
  <c r="P688" i="5" s="1"/>
  <c r="M688" i="5"/>
  <c r="L688" i="5"/>
  <c r="S687" i="5"/>
  <c r="R687" i="5"/>
  <c r="Q687" i="5"/>
  <c r="N687" i="5" s="1"/>
  <c r="M687" i="5"/>
  <c r="L687" i="5"/>
  <c r="S686" i="5"/>
  <c r="R686" i="5"/>
  <c r="Q686" i="5"/>
  <c r="P686" i="5" s="1"/>
  <c r="M686" i="5"/>
  <c r="L686" i="5"/>
  <c r="S685" i="5"/>
  <c r="R685" i="5"/>
  <c r="Q685" i="5"/>
  <c r="N685" i="5" s="1"/>
  <c r="M685" i="5"/>
  <c r="L685" i="5"/>
  <c r="S684" i="5"/>
  <c r="R684" i="5"/>
  <c r="Q684" i="5"/>
  <c r="P684" i="5" s="1"/>
  <c r="M684" i="5"/>
  <c r="L684" i="5"/>
  <c r="S683" i="5"/>
  <c r="R683" i="5"/>
  <c r="Q683" i="5"/>
  <c r="N683" i="5" s="1"/>
  <c r="M683" i="5"/>
  <c r="L683" i="5"/>
  <c r="S682" i="5"/>
  <c r="R682" i="5"/>
  <c r="Q682" i="5"/>
  <c r="O682" i="5" s="1"/>
  <c r="M682" i="5"/>
  <c r="L682" i="5"/>
  <c r="S681" i="5"/>
  <c r="R681" i="5"/>
  <c r="Q681" i="5"/>
  <c r="N681" i="5" s="1"/>
  <c r="M681" i="5"/>
  <c r="L681" i="5"/>
  <c r="S680" i="5"/>
  <c r="R680" i="5"/>
  <c r="Q680" i="5"/>
  <c r="M680" i="5"/>
  <c r="L680" i="5"/>
  <c r="S679" i="5"/>
  <c r="R679" i="5"/>
  <c r="Q679" i="5"/>
  <c r="M679" i="5"/>
  <c r="L679" i="5"/>
  <c r="S678" i="5"/>
  <c r="R678" i="5"/>
  <c r="Q678" i="5"/>
  <c r="M678" i="5"/>
  <c r="L678" i="5"/>
  <c r="S677" i="5"/>
  <c r="R677" i="5"/>
  <c r="Q677" i="5"/>
  <c r="M677" i="5"/>
  <c r="L677" i="5"/>
  <c r="S676" i="5"/>
  <c r="R676" i="5"/>
  <c r="Q676" i="5"/>
  <c r="O676" i="5" s="1"/>
  <c r="M676" i="5"/>
  <c r="L676" i="5"/>
  <c r="S675" i="5"/>
  <c r="R675" i="5"/>
  <c r="Q675" i="5"/>
  <c r="N675" i="5" s="1"/>
  <c r="M675" i="5"/>
  <c r="L675" i="5"/>
  <c r="S674" i="5"/>
  <c r="R674" i="5"/>
  <c r="Q674" i="5"/>
  <c r="P674" i="5" s="1"/>
  <c r="M674" i="5"/>
  <c r="L674" i="5"/>
  <c r="X674" i="5" s="1"/>
  <c r="S673" i="5"/>
  <c r="R673" i="5"/>
  <c r="Q673" i="5"/>
  <c r="N673" i="5" s="1"/>
  <c r="M673" i="5"/>
  <c r="L673" i="5"/>
  <c r="S672" i="5"/>
  <c r="R672" i="5"/>
  <c r="P672" i="5"/>
  <c r="M672" i="5"/>
  <c r="L672" i="5"/>
  <c r="X672" i="5" s="1"/>
  <c r="S671" i="5"/>
  <c r="R671" i="5"/>
  <c r="Q671" i="5"/>
  <c r="O671" i="5" s="1"/>
  <c r="M671" i="5"/>
  <c r="L671" i="5"/>
  <c r="S670" i="5"/>
  <c r="R670" i="5"/>
  <c r="Q670" i="5"/>
  <c r="N670" i="5" s="1"/>
  <c r="M670" i="5"/>
  <c r="L670" i="5"/>
  <c r="X670" i="5" s="1"/>
  <c r="S669" i="5"/>
  <c r="R669" i="5"/>
  <c r="Q669" i="5"/>
  <c r="N669" i="5" s="1"/>
  <c r="M669" i="5"/>
  <c r="L669" i="5"/>
  <c r="S668" i="5"/>
  <c r="R668" i="5"/>
  <c r="Q668" i="5"/>
  <c r="P668" i="5" s="1"/>
  <c r="M668" i="5"/>
  <c r="L668" i="5"/>
  <c r="X668" i="5" s="1"/>
  <c r="S667" i="5"/>
  <c r="R667" i="5"/>
  <c r="Q667" i="5"/>
  <c r="N667" i="5" s="1"/>
  <c r="M667" i="5"/>
  <c r="L667" i="5"/>
  <c r="S666" i="5"/>
  <c r="R666" i="5"/>
  <c r="Q666" i="5"/>
  <c r="M666" i="5"/>
  <c r="L666" i="5"/>
  <c r="S665" i="5"/>
  <c r="R665" i="5"/>
  <c r="Q665" i="5"/>
  <c r="N665" i="5" s="1"/>
  <c r="M665" i="5"/>
  <c r="L665" i="5"/>
  <c r="S664" i="5"/>
  <c r="R664" i="5"/>
  <c r="Q664" i="5"/>
  <c r="N664" i="5" s="1"/>
  <c r="M664" i="5"/>
  <c r="L664" i="5"/>
  <c r="X664" i="5" s="1"/>
  <c r="S663" i="5"/>
  <c r="R663" i="5"/>
  <c r="Q663" i="5"/>
  <c r="N663" i="5" s="1"/>
  <c r="M663" i="5"/>
  <c r="L663" i="5"/>
  <c r="S662" i="5"/>
  <c r="R662" i="5"/>
  <c r="Q662" i="5"/>
  <c r="P662" i="5" s="1"/>
  <c r="M662" i="5"/>
  <c r="L662" i="5"/>
  <c r="S661" i="5"/>
  <c r="R661" i="5"/>
  <c r="Q661" i="5"/>
  <c r="P661" i="5" s="1"/>
  <c r="M661" i="5"/>
  <c r="L661" i="5"/>
  <c r="S660" i="5"/>
  <c r="R660" i="5"/>
  <c r="Q660" i="5"/>
  <c r="P660" i="5" s="1"/>
  <c r="M660" i="5"/>
  <c r="L660" i="5"/>
  <c r="S659" i="5"/>
  <c r="R659" i="5"/>
  <c r="Q659" i="5"/>
  <c r="N659" i="5" s="1"/>
  <c r="M659" i="5"/>
  <c r="L659" i="5"/>
  <c r="S658" i="5"/>
  <c r="R658" i="5"/>
  <c r="Q658" i="5"/>
  <c r="P658" i="5" s="1"/>
  <c r="M658" i="5"/>
  <c r="L658" i="5"/>
  <c r="S657" i="5"/>
  <c r="R657" i="5"/>
  <c r="Q657" i="5"/>
  <c r="P657" i="5" s="1"/>
  <c r="M657" i="5"/>
  <c r="L657" i="5"/>
  <c r="S656" i="5"/>
  <c r="R656" i="5"/>
  <c r="Q656" i="5"/>
  <c r="P656" i="5" s="1"/>
  <c r="M656" i="5"/>
  <c r="L656" i="5"/>
  <c r="S655" i="5"/>
  <c r="R655" i="5"/>
  <c r="Q655" i="5"/>
  <c r="N655" i="5" s="1"/>
  <c r="M655" i="5"/>
  <c r="L655" i="5"/>
  <c r="S654" i="5"/>
  <c r="R654" i="5"/>
  <c r="Q654" i="5"/>
  <c r="P654" i="5" s="1"/>
  <c r="M654" i="5"/>
  <c r="L654" i="5"/>
  <c r="S653" i="5"/>
  <c r="R653" i="5"/>
  <c r="Q653" i="5"/>
  <c r="P653" i="5" s="1"/>
  <c r="M653" i="5"/>
  <c r="L653" i="5"/>
  <c r="S652" i="5"/>
  <c r="R652" i="5"/>
  <c r="Q652" i="5"/>
  <c r="M652" i="5"/>
  <c r="L652" i="5"/>
  <c r="X652" i="5" s="1"/>
  <c r="S651" i="5"/>
  <c r="R651" i="5"/>
  <c r="Q651" i="5"/>
  <c r="N651" i="5" s="1"/>
  <c r="M651" i="5"/>
  <c r="L651" i="5"/>
  <c r="S650" i="5"/>
  <c r="R650" i="5"/>
  <c r="Q650" i="5"/>
  <c r="O650" i="5" s="1"/>
  <c r="M650" i="5"/>
  <c r="L650" i="5"/>
  <c r="S649" i="5"/>
  <c r="R649" i="5"/>
  <c r="Q649" i="5"/>
  <c r="P649" i="5" s="1"/>
  <c r="M649" i="5"/>
  <c r="L649" i="5"/>
  <c r="S648" i="5"/>
  <c r="R648" i="5"/>
  <c r="Q648" i="5"/>
  <c r="P648" i="5" s="1"/>
  <c r="M648" i="5"/>
  <c r="L648" i="5"/>
  <c r="S647" i="5"/>
  <c r="R647" i="5"/>
  <c r="Q647" i="5"/>
  <c r="N647" i="5" s="1"/>
  <c r="M647" i="5"/>
  <c r="L647" i="5"/>
  <c r="S646" i="5"/>
  <c r="R646" i="5"/>
  <c r="Q646" i="5"/>
  <c r="P646" i="5" s="1"/>
  <c r="M646" i="5"/>
  <c r="L646" i="5"/>
  <c r="S645" i="5"/>
  <c r="R645" i="5"/>
  <c r="Q645" i="5"/>
  <c r="P645" i="5" s="1"/>
  <c r="M645" i="5"/>
  <c r="L645" i="5"/>
  <c r="S644" i="5"/>
  <c r="R644" i="5"/>
  <c r="Q644" i="5"/>
  <c r="P644" i="5" s="1"/>
  <c r="M644" i="5"/>
  <c r="L644" i="5"/>
  <c r="S643" i="5"/>
  <c r="R643" i="5"/>
  <c r="Q643" i="5"/>
  <c r="N643" i="5" s="1"/>
  <c r="M643" i="5"/>
  <c r="L643" i="5"/>
  <c r="X643" i="5" s="1"/>
  <c r="S642" i="5"/>
  <c r="R642" i="5"/>
  <c r="Q642" i="5"/>
  <c r="P642" i="5" s="1"/>
  <c r="M642" i="5"/>
  <c r="L642" i="5"/>
  <c r="S641" i="5"/>
  <c r="R641" i="5"/>
  <c r="Q641" i="5"/>
  <c r="M641" i="5"/>
  <c r="L641" i="5"/>
  <c r="S640" i="5"/>
  <c r="R640" i="5"/>
  <c r="Q640" i="5"/>
  <c r="N640" i="5" s="1"/>
  <c r="M640" i="5"/>
  <c r="L640" i="5"/>
  <c r="S639" i="5"/>
  <c r="R639" i="5"/>
  <c r="Q639" i="5"/>
  <c r="N639" i="5" s="1"/>
  <c r="M639" i="5"/>
  <c r="L639" i="5"/>
  <c r="S638" i="5"/>
  <c r="R638" i="5"/>
  <c r="Q638" i="5"/>
  <c r="N638" i="5" s="1"/>
  <c r="M638" i="5"/>
  <c r="L638" i="5"/>
  <c r="S637" i="5"/>
  <c r="R637" i="5"/>
  <c r="Q637" i="5"/>
  <c r="P637" i="5" s="1"/>
  <c r="M637" i="5"/>
  <c r="L637" i="5"/>
  <c r="S636" i="5"/>
  <c r="R636" i="5"/>
  <c r="Q636" i="5"/>
  <c r="M636" i="5"/>
  <c r="L636" i="5"/>
  <c r="X636" i="5" s="1"/>
  <c r="S635" i="5"/>
  <c r="R635" i="5"/>
  <c r="Q635" i="5"/>
  <c r="O635" i="5" s="1"/>
  <c r="M635" i="5"/>
  <c r="L635" i="5"/>
  <c r="X635" i="5" s="1"/>
  <c r="S634" i="5"/>
  <c r="R634" i="5"/>
  <c r="Q634" i="5"/>
  <c r="M634" i="5"/>
  <c r="L634" i="5"/>
  <c r="X634" i="5" s="1"/>
  <c r="S633" i="5"/>
  <c r="R633" i="5"/>
  <c r="Q633" i="5"/>
  <c r="N633" i="5" s="1"/>
  <c r="M633" i="5"/>
  <c r="L633" i="5"/>
  <c r="S632" i="5"/>
  <c r="R632" i="5"/>
  <c r="Q632" i="5"/>
  <c r="N632" i="5" s="1"/>
  <c r="M632" i="5"/>
  <c r="L632" i="5"/>
  <c r="S631" i="5"/>
  <c r="R631" i="5"/>
  <c r="Q631" i="5"/>
  <c r="O631" i="5" s="1"/>
  <c r="M631" i="5"/>
  <c r="L631" i="5"/>
  <c r="S630" i="5"/>
  <c r="R630" i="5"/>
  <c r="Q630" i="5"/>
  <c r="P630" i="5" s="1"/>
  <c r="M630" i="5"/>
  <c r="L630" i="5"/>
  <c r="S629" i="5"/>
  <c r="R629" i="5"/>
  <c r="Q629" i="5"/>
  <c r="P629" i="5" s="1"/>
  <c r="M629" i="5"/>
  <c r="L629" i="5"/>
  <c r="S628" i="5"/>
  <c r="R628" i="5"/>
  <c r="Q628" i="5"/>
  <c r="O628" i="5" s="1"/>
  <c r="M628" i="5"/>
  <c r="L628" i="5"/>
  <c r="S627" i="5"/>
  <c r="R627" i="5"/>
  <c r="Q627" i="5"/>
  <c r="N627" i="5" s="1"/>
  <c r="M627" i="5"/>
  <c r="L627" i="5"/>
  <c r="S626" i="5"/>
  <c r="R626" i="5"/>
  <c r="Q626" i="5"/>
  <c r="P626" i="5" s="1"/>
  <c r="M626" i="5"/>
  <c r="L626" i="5"/>
  <c r="S625" i="5"/>
  <c r="R625" i="5"/>
  <c r="Q625" i="5"/>
  <c r="N625" i="5" s="1"/>
  <c r="M625" i="5"/>
  <c r="L625" i="5"/>
  <c r="S624" i="5"/>
  <c r="R624" i="5"/>
  <c r="Q624" i="5"/>
  <c r="N624" i="5" s="1"/>
  <c r="M624" i="5"/>
  <c r="L624" i="5"/>
  <c r="S623" i="5"/>
  <c r="R623" i="5"/>
  <c r="Q623" i="5"/>
  <c r="O623" i="5" s="1"/>
  <c r="M623" i="5"/>
  <c r="L623" i="5"/>
  <c r="S622" i="5"/>
  <c r="R622" i="5"/>
  <c r="Q622" i="5"/>
  <c r="P622" i="5" s="1"/>
  <c r="M622" i="5"/>
  <c r="L622" i="5"/>
  <c r="S621" i="5"/>
  <c r="R621" i="5"/>
  <c r="Q621" i="5"/>
  <c r="P621" i="5" s="1"/>
  <c r="M621" i="5"/>
  <c r="L621" i="5"/>
  <c r="S620" i="5"/>
  <c r="R620" i="5"/>
  <c r="Q620" i="5"/>
  <c r="M620" i="5"/>
  <c r="L620" i="5"/>
  <c r="S619" i="5"/>
  <c r="R619" i="5"/>
  <c r="Q619" i="5"/>
  <c r="M619" i="5"/>
  <c r="L619" i="5"/>
  <c r="X619" i="5" s="1"/>
  <c r="S618" i="5"/>
  <c r="R618" i="5"/>
  <c r="Q618" i="5"/>
  <c r="P618" i="5" s="1"/>
  <c r="M618" i="5"/>
  <c r="L618" i="5"/>
  <c r="X618" i="5" s="1"/>
  <c r="S617" i="5"/>
  <c r="R617" i="5"/>
  <c r="Q617" i="5"/>
  <c r="N617" i="5" s="1"/>
  <c r="M617" i="5"/>
  <c r="L617" i="5"/>
  <c r="S616" i="5"/>
  <c r="R616" i="5"/>
  <c r="Q616" i="5"/>
  <c r="P616" i="5" s="1"/>
  <c r="M616" i="5"/>
  <c r="L616" i="5"/>
  <c r="X616" i="5" s="1"/>
  <c r="S615" i="5"/>
  <c r="R615" i="5"/>
  <c r="Q615" i="5"/>
  <c r="P615" i="5" s="1"/>
  <c r="M615" i="5"/>
  <c r="L615" i="5"/>
  <c r="X615" i="5" s="1"/>
  <c r="S614" i="5"/>
  <c r="R614" i="5"/>
  <c r="Q614" i="5"/>
  <c r="P614" i="5" s="1"/>
  <c r="M614" i="5"/>
  <c r="L614" i="5"/>
  <c r="X614" i="5" s="1"/>
  <c r="S613" i="5"/>
  <c r="R613" i="5"/>
  <c r="Q613" i="5"/>
  <c r="P613" i="5" s="1"/>
  <c r="M613" i="5"/>
  <c r="L613" i="5"/>
  <c r="S612" i="5"/>
  <c r="R612" i="5"/>
  <c r="Q612" i="5"/>
  <c r="P612" i="5" s="1"/>
  <c r="M612" i="5"/>
  <c r="L612" i="5"/>
  <c r="S611" i="5"/>
  <c r="R611" i="5"/>
  <c r="Q611" i="5"/>
  <c r="P611" i="5" s="1"/>
  <c r="M611" i="5"/>
  <c r="L611" i="5"/>
  <c r="S610" i="5"/>
  <c r="R610" i="5"/>
  <c r="Q610" i="5"/>
  <c r="P610" i="5" s="1"/>
  <c r="M610" i="5"/>
  <c r="L610" i="5"/>
  <c r="S609" i="5"/>
  <c r="R609" i="5"/>
  <c r="Q609" i="5"/>
  <c r="N609" i="5" s="1"/>
  <c r="M609" i="5"/>
  <c r="L609" i="5"/>
  <c r="S608" i="5"/>
  <c r="R608" i="5"/>
  <c r="Q608" i="5"/>
  <c r="P608" i="5" s="1"/>
  <c r="M608" i="5"/>
  <c r="L608" i="5"/>
  <c r="S607" i="5"/>
  <c r="R607" i="5"/>
  <c r="Q607" i="5"/>
  <c r="M607" i="5"/>
  <c r="L607" i="5"/>
  <c r="X607" i="5" s="1"/>
  <c r="S606" i="5"/>
  <c r="R606" i="5"/>
  <c r="Q606" i="5"/>
  <c r="N606" i="5" s="1"/>
  <c r="M606" i="5"/>
  <c r="L606" i="5"/>
  <c r="X606" i="5" s="1"/>
  <c r="S605" i="5"/>
  <c r="R605" i="5"/>
  <c r="Q605" i="5"/>
  <c r="P605" i="5" s="1"/>
  <c r="M605" i="5"/>
  <c r="L605" i="5"/>
  <c r="S604" i="5"/>
  <c r="R604" i="5"/>
  <c r="Q604" i="5"/>
  <c r="P604" i="5" s="1"/>
  <c r="M604" i="5"/>
  <c r="L604" i="5"/>
  <c r="S603" i="5"/>
  <c r="R603" i="5"/>
  <c r="Q603" i="5"/>
  <c r="O603" i="5" s="1"/>
  <c r="M603" i="5"/>
  <c r="L603" i="5"/>
  <c r="S602" i="5"/>
  <c r="R602" i="5"/>
  <c r="Q602" i="5"/>
  <c r="P602" i="5" s="1"/>
  <c r="M602" i="5"/>
  <c r="L602" i="5"/>
  <c r="X602" i="5" s="1"/>
  <c r="S601" i="5"/>
  <c r="R601" i="5"/>
  <c r="Q601" i="5"/>
  <c r="N601" i="5" s="1"/>
  <c r="M601" i="5"/>
  <c r="L601" i="5"/>
  <c r="S600" i="5"/>
  <c r="R600" i="5"/>
  <c r="Q600" i="5"/>
  <c r="P600" i="5" s="1"/>
  <c r="M600" i="5"/>
  <c r="L600" i="5"/>
  <c r="S599" i="5"/>
  <c r="R599" i="5"/>
  <c r="Q599" i="5"/>
  <c r="M599" i="5"/>
  <c r="L599" i="5"/>
  <c r="V599" i="5" s="1"/>
  <c r="S598" i="5"/>
  <c r="R598" i="5"/>
  <c r="Q598" i="5"/>
  <c r="M598" i="5"/>
  <c r="L598" i="5"/>
  <c r="S597" i="5"/>
  <c r="R597" i="5"/>
  <c r="Q597" i="5"/>
  <c r="P597" i="5" s="1"/>
  <c r="M597" i="5"/>
  <c r="L597" i="5"/>
  <c r="X597" i="5" s="1"/>
  <c r="S596" i="5"/>
  <c r="R596" i="5"/>
  <c r="Q596" i="5"/>
  <c r="P596" i="5" s="1"/>
  <c r="M596" i="5"/>
  <c r="L596" i="5"/>
  <c r="X596" i="5" s="1"/>
  <c r="S595" i="5"/>
  <c r="R595" i="5"/>
  <c r="Q595" i="5"/>
  <c r="O595" i="5" s="1"/>
  <c r="M595" i="5"/>
  <c r="L595" i="5"/>
  <c r="S594" i="5"/>
  <c r="R594" i="5"/>
  <c r="Q594" i="5"/>
  <c r="M594" i="5"/>
  <c r="L594" i="5"/>
  <c r="X594" i="5" s="1"/>
  <c r="S593" i="5"/>
  <c r="R593" i="5"/>
  <c r="Q593" i="5"/>
  <c r="M593" i="5"/>
  <c r="L593" i="5"/>
  <c r="S592" i="5"/>
  <c r="R592" i="5"/>
  <c r="Q592" i="5"/>
  <c r="O592" i="5" s="1"/>
  <c r="M592" i="5"/>
  <c r="L592" i="5"/>
  <c r="S591" i="5"/>
  <c r="R591" i="5"/>
  <c r="Q591" i="5"/>
  <c r="P591" i="5" s="1"/>
  <c r="M591" i="5"/>
  <c r="L591" i="5"/>
  <c r="S590" i="5"/>
  <c r="R590" i="5"/>
  <c r="Q590" i="5"/>
  <c r="M590" i="5"/>
  <c r="L590" i="5"/>
  <c r="S589" i="5"/>
  <c r="R589" i="5"/>
  <c r="Q589" i="5"/>
  <c r="P589" i="5" s="1"/>
  <c r="M589" i="5"/>
  <c r="L589" i="5"/>
  <c r="S588" i="5"/>
  <c r="R588" i="5"/>
  <c r="Q588" i="5"/>
  <c r="M588" i="5"/>
  <c r="L588" i="5"/>
  <c r="S587" i="5"/>
  <c r="R587" i="5"/>
  <c r="Q587" i="5"/>
  <c r="P587" i="5" s="1"/>
  <c r="M587" i="5"/>
  <c r="L587" i="5"/>
  <c r="S586" i="5"/>
  <c r="R586" i="5"/>
  <c r="Q586" i="5"/>
  <c r="P586" i="5" s="1"/>
  <c r="M586" i="5"/>
  <c r="L586" i="5"/>
  <c r="S585" i="5"/>
  <c r="R585" i="5"/>
  <c r="Q585" i="5"/>
  <c r="P585" i="5" s="1"/>
  <c r="M585" i="5"/>
  <c r="L585" i="5"/>
  <c r="S584" i="5"/>
  <c r="R584" i="5"/>
  <c r="Q584" i="5"/>
  <c r="O584" i="5" s="1"/>
  <c r="M584" i="5"/>
  <c r="L584" i="5"/>
  <c r="S583" i="5"/>
  <c r="R583" i="5"/>
  <c r="Q583" i="5"/>
  <c r="M583" i="5"/>
  <c r="L583" i="5"/>
  <c r="S582" i="5"/>
  <c r="R582" i="5"/>
  <c r="Q582" i="5"/>
  <c r="P582" i="5" s="1"/>
  <c r="M582" i="5"/>
  <c r="L582" i="5"/>
  <c r="S581" i="5"/>
  <c r="R581" i="5"/>
  <c r="Q581" i="5"/>
  <c r="P581" i="5" s="1"/>
  <c r="M581" i="5"/>
  <c r="L581" i="5"/>
  <c r="X581" i="5" s="1"/>
  <c r="S580" i="5"/>
  <c r="R580" i="5"/>
  <c r="Q580" i="5"/>
  <c r="O580" i="5" s="1"/>
  <c r="M580" i="5"/>
  <c r="L580" i="5"/>
  <c r="X580" i="5" s="1"/>
  <c r="S579" i="5"/>
  <c r="R579" i="5"/>
  <c r="Q579" i="5"/>
  <c r="P579" i="5" s="1"/>
  <c r="M579" i="5"/>
  <c r="L579" i="5"/>
  <c r="S578" i="5"/>
  <c r="R578" i="5"/>
  <c r="Q578" i="5"/>
  <c r="M578" i="5"/>
  <c r="L578" i="5"/>
  <c r="X578" i="5" s="1"/>
  <c r="S577" i="5"/>
  <c r="R577" i="5"/>
  <c r="Q577" i="5"/>
  <c r="O577" i="5" s="1"/>
  <c r="M577" i="5"/>
  <c r="L577" i="5"/>
  <c r="S576" i="5"/>
  <c r="R576" i="5"/>
  <c r="Q576" i="5"/>
  <c r="O576" i="5" s="1"/>
  <c r="M576" i="5"/>
  <c r="L576" i="5"/>
  <c r="S256" i="5"/>
  <c r="R256" i="5"/>
  <c r="Q256" i="5"/>
  <c r="M256" i="5"/>
  <c r="L256" i="5"/>
  <c r="V256" i="5" s="1"/>
  <c r="S575" i="5"/>
  <c r="R575" i="5"/>
  <c r="Q575" i="5"/>
  <c r="P575" i="5" s="1"/>
  <c r="M575" i="5"/>
  <c r="L575" i="5"/>
  <c r="S574" i="5"/>
  <c r="R574" i="5"/>
  <c r="Q574" i="5"/>
  <c r="P574" i="5" s="1"/>
  <c r="M574" i="5"/>
  <c r="L574" i="5"/>
  <c r="S573" i="5"/>
  <c r="R573" i="5"/>
  <c r="Q573" i="5"/>
  <c r="O573" i="5" s="1"/>
  <c r="M573" i="5"/>
  <c r="L573" i="5"/>
  <c r="X573" i="5" s="1"/>
  <c r="S572" i="5"/>
  <c r="R572" i="5"/>
  <c r="Q572" i="5"/>
  <c r="M572" i="5"/>
  <c r="L572" i="5"/>
  <c r="X572" i="5" s="1"/>
  <c r="S571" i="5"/>
  <c r="R571" i="5"/>
  <c r="Q571" i="5"/>
  <c r="O571" i="5" s="1"/>
  <c r="M571" i="5"/>
  <c r="L571" i="5"/>
  <c r="X571" i="5" s="1"/>
  <c r="S570" i="5"/>
  <c r="R570" i="5"/>
  <c r="Q570" i="5"/>
  <c r="O570" i="5" s="1"/>
  <c r="M570" i="5"/>
  <c r="L570" i="5"/>
  <c r="X570" i="5" s="1"/>
  <c r="S569" i="5"/>
  <c r="R569" i="5"/>
  <c r="Q569" i="5"/>
  <c r="O569" i="5" s="1"/>
  <c r="M569" i="5"/>
  <c r="L569" i="5"/>
  <c r="S568" i="5"/>
  <c r="R568" i="5"/>
  <c r="Q568" i="5"/>
  <c r="P568" i="5" s="1"/>
  <c r="M568" i="5"/>
  <c r="L568" i="5"/>
  <c r="S567" i="5"/>
  <c r="R567" i="5"/>
  <c r="Q567" i="5"/>
  <c r="P567" i="5" s="1"/>
  <c r="M567" i="5"/>
  <c r="L567" i="5"/>
  <c r="X567" i="5" s="1"/>
  <c r="S566" i="5"/>
  <c r="R566" i="5"/>
  <c r="Q566" i="5"/>
  <c r="O566" i="5" s="1"/>
  <c r="M566" i="5"/>
  <c r="L566" i="5"/>
  <c r="S565" i="5"/>
  <c r="R565" i="5"/>
  <c r="Q565" i="5"/>
  <c r="O565" i="5" s="1"/>
  <c r="M565" i="5"/>
  <c r="L565" i="5"/>
  <c r="S564" i="5"/>
  <c r="R564" i="5"/>
  <c r="Q564" i="5"/>
  <c r="P564" i="5" s="1"/>
  <c r="M564" i="5"/>
  <c r="L564" i="5"/>
  <c r="S563" i="5"/>
  <c r="R563" i="5"/>
  <c r="Q563" i="5"/>
  <c r="O563" i="5" s="1"/>
  <c r="M563" i="5"/>
  <c r="L563" i="5"/>
  <c r="S562" i="5"/>
  <c r="R562" i="5"/>
  <c r="Q562" i="5"/>
  <c r="O562" i="5" s="1"/>
  <c r="M562" i="5"/>
  <c r="L562" i="5"/>
  <c r="S561" i="5"/>
  <c r="R561" i="5"/>
  <c r="Q561" i="5"/>
  <c r="O561" i="5" s="1"/>
  <c r="M561" i="5"/>
  <c r="L561" i="5"/>
  <c r="X561" i="5" s="1"/>
  <c r="S560" i="5"/>
  <c r="R560" i="5"/>
  <c r="Q560" i="5"/>
  <c r="P560" i="5" s="1"/>
  <c r="M560" i="5"/>
  <c r="L560" i="5"/>
  <c r="S559" i="5"/>
  <c r="R559" i="5"/>
  <c r="Q559" i="5"/>
  <c r="M559" i="5"/>
  <c r="L559" i="5"/>
  <c r="S558" i="5"/>
  <c r="R558" i="5"/>
  <c r="Q558" i="5"/>
  <c r="N558" i="5" s="1"/>
  <c r="M558" i="5"/>
  <c r="L558" i="5"/>
  <c r="S557" i="5"/>
  <c r="R557" i="5"/>
  <c r="Q557" i="5"/>
  <c r="O557" i="5" s="1"/>
  <c r="M557" i="5"/>
  <c r="L557" i="5"/>
  <c r="X557" i="5" s="1"/>
  <c r="S556" i="5"/>
  <c r="R556" i="5"/>
  <c r="Q556" i="5"/>
  <c r="M556" i="5"/>
  <c r="L556" i="5"/>
  <c r="S555" i="5"/>
  <c r="R555" i="5"/>
  <c r="Q555" i="5"/>
  <c r="P555" i="5" s="1"/>
  <c r="M555" i="5"/>
  <c r="L555" i="5"/>
  <c r="X555" i="5" s="1"/>
  <c r="S554" i="5"/>
  <c r="R554" i="5"/>
  <c r="Q554" i="5"/>
  <c r="O554" i="5" s="1"/>
  <c r="M554" i="5"/>
  <c r="L554" i="5"/>
  <c r="S553" i="5"/>
  <c r="R553" i="5"/>
  <c r="Q553" i="5"/>
  <c r="P553" i="5" s="1"/>
  <c r="M553" i="5"/>
  <c r="L553" i="5"/>
  <c r="S552" i="5"/>
  <c r="R552" i="5"/>
  <c r="Q552" i="5"/>
  <c r="P552" i="5" s="1"/>
  <c r="M552" i="5"/>
  <c r="L552" i="5"/>
  <c r="S551" i="5"/>
  <c r="R551" i="5"/>
  <c r="Q551" i="5"/>
  <c r="M551" i="5"/>
  <c r="L551" i="5"/>
  <c r="X551" i="5" s="1"/>
  <c r="S550" i="5"/>
  <c r="R550" i="5"/>
  <c r="Q550" i="5"/>
  <c r="M550" i="5"/>
  <c r="L550" i="5"/>
  <c r="S549" i="5"/>
  <c r="R549" i="5"/>
  <c r="Q549" i="5"/>
  <c r="O549" i="5" s="1"/>
  <c r="M549" i="5"/>
  <c r="L549" i="5"/>
  <c r="S548" i="5"/>
  <c r="R548" i="5"/>
  <c r="Q548" i="5"/>
  <c r="P548" i="5" s="1"/>
  <c r="M548" i="5"/>
  <c r="L548" i="5"/>
  <c r="S547" i="5"/>
  <c r="R547" i="5"/>
  <c r="Q547" i="5"/>
  <c r="P547" i="5" s="1"/>
  <c r="M547" i="5"/>
  <c r="L547" i="5"/>
  <c r="X547" i="5" s="1"/>
  <c r="S546" i="5"/>
  <c r="R546" i="5"/>
  <c r="Q546" i="5"/>
  <c r="O546" i="5" s="1"/>
  <c r="M546" i="5"/>
  <c r="L546" i="5"/>
  <c r="S545" i="5"/>
  <c r="R545" i="5"/>
  <c r="Q545" i="5"/>
  <c r="P545" i="5" s="1"/>
  <c r="M545" i="5"/>
  <c r="L545" i="5"/>
  <c r="S544" i="5"/>
  <c r="R544" i="5"/>
  <c r="Q544" i="5"/>
  <c r="N544" i="5" s="1"/>
  <c r="M544" i="5"/>
  <c r="L544" i="5"/>
  <c r="X544" i="5" s="1"/>
  <c r="S543" i="5"/>
  <c r="R543" i="5"/>
  <c r="Q543" i="5"/>
  <c r="P543" i="5" s="1"/>
  <c r="M543" i="5"/>
  <c r="L543" i="5"/>
  <c r="S542" i="5"/>
  <c r="R542" i="5"/>
  <c r="Q542" i="5"/>
  <c r="P542" i="5" s="1"/>
  <c r="M542" i="5"/>
  <c r="L542" i="5"/>
  <c r="S541" i="5"/>
  <c r="R541" i="5"/>
  <c r="Q541" i="5"/>
  <c r="O541" i="5" s="1"/>
  <c r="M541" i="5"/>
  <c r="L541" i="5"/>
  <c r="X541" i="5" s="1"/>
  <c r="S540" i="5"/>
  <c r="R540" i="5"/>
  <c r="Q540" i="5"/>
  <c r="M540" i="5"/>
  <c r="L540" i="5"/>
  <c r="S539" i="5"/>
  <c r="R539" i="5"/>
  <c r="Q539" i="5"/>
  <c r="P539" i="5" s="1"/>
  <c r="M539" i="5"/>
  <c r="L539" i="5"/>
  <c r="S538" i="5"/>
  <c r="R538" i="5"/>
  <c r="Q538" i="5"/>
  <c r="M538" i="5"/>
  <c r="L538" i="5"/>
  <c r="S537" i="5"/>
  <c r="R537" i="5"/>
  <c r="Q537" i="5"/>
  <c r="M537" i="5"/>
  <c r="L537" i="5"/>
  <c r="S536" i="5"/>
  <c r="R536" i="5"/>
  <c r="Q536" i="5"/>
  <c r="M536" i="5"/>
  <c r="L536" i="5"/>
  <c r="X536" i="5" s="1"/>
  <c r="S535" i="5"/>
  <c r="R535" i="5"/>
  <c r="Q535" i="5"/>
  <c r="M535" i="5"/>
  <c r="L535" i="5"/>
  <c r="S534" i="5"/>
  <c r="R534" i="5"/>
  <c r="Q534" i="5"/>
  <c r="M534" i="5"/>
  <c r="L534" i="5"/>
  <c r="S533" i="5"/>
  <c r="R533" i="5"/>
  <c r="Q533" i="5"/>
  <c r="O533" i="5" s="1"/>
  <c r="M533" i="5"/>
  <c r="L533" i="5"/>
  <c r="S532" i="5"/>
  <c r="R532" i="5"/>
  <c r="Q532" i="5"/>
  <c r="P532" i="5" s="1"/>
  <c r="M532" i="5"/>
  <c r="L532" i="5"/>
  <c r="S531" i="5"/>
  <c r="R531" i="5"/>
  <c r="Q531" i="5"/>
  <c r="M531" i="5"/>
  <c r="L531" i="5"/>
  <c r="S530" i="5"/>
  <c r="R530" i="5"/>
  <c r="Q530" i="5"/>
  <c r="M530" i="5"/>
  <c r="L530" i="5"/>
  <c r="S529" i="5"/>
  <c r="R529" i="5"/>
  <c r="Q529" i="5"/>
  <c r="M529" i="5"/>
  <c r="L529" i="5"/>
  <c r="S528" i="5"/>
  <c r="R528" i="5"/>
  <c r="Q528" i="5"/>
  <c r="P528" i="5" s="1"/>
  <c r="M528" i="5"/>
  <c r="L528" i="5"/>
  <c r="S527" i="5"/>
  <c r="R527" i="5"/>
  <c r="Q527" i="5"/>
  <c r="M527" i="5"/>
  <c r="L527" i="5"/>
  <c r="S526" i="5"/>
  <c r="R526" i="5"/>
  <c r="Q526" i="5"/>
  <c r="M526" i="5"/>
  <c r="L526" i="5"/>
  <c r="S525" i="5"/>
  <c r="R525" i="5"/>
  <c r="Q525" i="5"/>
  <c r="O525" i="5" s="1"/>
  <c r="M525" i="5"/>
  <c r="L525" i="5"/>
  <c r="X525" i="5" s="1"/>
  <c r="S524" i="5"/>
  <c r="R524" i="5"/>
  <c r="Q524" i="5"/>
  <c r="N524" i="5" s="1"/>
  <c r="M524" i="5"/>
  <c r="L524" i="5"/>
  <c r="S523" i="5"/>
  <c r="R523" i="5"/>
  <c r="Q523" i="5"/>
  <c r="P523" i="5" s="1"/>
  <c r="M523" i="5"/>
  <c r="L523" i="5"/>
  <c r="S522" i="5"/>
  <c r="R522" i="5"/>
  <c r="Q522" i="5"/>
  <c r="M522" i="5"/>
  <c r="L522" i="5"/>
  <c r="X522" i="5" s="1"/>
  <c r="S521" i="5"/>
  <c r="R521" i="5"/>
  <c r="Q521" i="5"/>
  <c r="P521" i="5" s="1"/>
  <c r="M521" i="5"/>
  <c r="L521" i="5"/>
  <c r="S520" i="5"/>
  <c r="R520" i="5"/>
  <c r="Q520" i="5"/>
  <c r="M520" i="5"/>
  <c r="L520" i="5"/>
  <c r="S519" i="5"/>
  <c r="R519" i="5"/>
  <c r="Q519" i="5"/>
  <c r="P519" i="5" s="1"/>
  <c r="M519" i="5"/>
  <c r="L519" i="5"/>
  <c r="S518" i="5"/>
  <c r="R518" i="5"/>
  <c r="Q518" i="5"/>
  <c r="O518" i="5" s="1"/>
  <c r="M518" i="5"/>
  <c r="L518" i="5"/>
  <c r="S517" i="5"/>
  <c r="R517" i="5"/>
  <c r="Q517" i="5"/>
  <c r="O517" i="5" s="1"/>
  <c r="M517" i="5"/>
  <c r="L517" i="5"/>
  <c r="X517" i="5" s="1"/>
  <c r="S516" i="5"/>
  <c r="R516" i="5"/>
  <c r="Q516" i="5"/>
  <c r="M516" i="5"/>
  <c r="L516" i="5"/>
  <c r="X516" i="5" s="1"/>
  <c r="S515" i="5"/>
  <c r="R515" i="5"/>
  <c r="Q515" i="5"/>
  <c r="M515" i="5"/>
  <c r="L515" i="5"/>
  <c r="X515" i="5" s="1"/>
  <c r="S514" i="5"/>
  <c r="R514" i="5"/>
  <c r="Q514" i="5"/>
  <c r="M514" i="5"/>
  <c r="L514" i="5"/>
  <c r="S513" i="5"/>
  <c r="R513" i="5"/>
  <c r="Q513" i="5"/>
  <c r="M513" i="5"/>
  <c r="L513" i="5"/>
  <c r="S512" i="5"/>
  <c r="R512" i="5"/>
  <c r="Q512" i="5"/>
  <c r="N512" i="5" s="1"/>
  <c r="M512" i="5"/>
  <c r="L512" i="5"/>
  <c r="S511" i="5"/>
  <c r="R511" i="5"/>
  <c r="Q511" i="5"/>
  <c r="M511" i="5"/>
  <c r="L511" i="5"/>
  <c r="L280" i="5"/>
  <c r="L5" i="5"/>
  <c r="L416" i="5"/>
  <c r="L305" i="5"/>
  <c r="L73" i="5"/>
  <c r="L320" i="5"/>
  <c r="L349" i="5"/>
  <c r="L302" i="5"/>
  <c r="L191" i="5"/>
  <c r="L129" i="5"/>
  <c r="L283" i="5"/>
  <c r="L277" i="5"/>
  <c r="L13" i="5"/>
  <c r="L373" i="5"/>
  <c r="L295" i="5"/>
  <c r="L321" i="5"/>
  <c r="L288" i="5"/>
  <c r="L23" i="5"/>
  <c r="L26" i="5"/>
  <c r="L18" i="5"/>
  <c r="L309" i="5"/>
  <c r="L70" i="5"/>
  <c r="L246" i="5"/>
  <c r="L368" i="5"/>
  <c r="L342" i="5"/>
  <c r="L383" i="5"/>
  <c r="L160" i="5"/>
  <c r="L76" i="5"/>
  <c r="L332" i="5"/>
  <c r="L34" i="5"/>
  <c r="L149" i="5"/>
  <c r="L417" i="5"/>
  <c r="L52" i="5"/>
  <c r="L396" i="5"/>
  <c r="L136" i="5"/>
  <c r="L143" i="5"/>
  <c r="L405" i="5"/>
  <c r="S465" i="5"/>
  <c r="R465" i="5"/>
  <c r="Q465" i="5"/>
  <c r="P465" i="5" s="1"/>
  <c r="M465" i="5"/>
  <c r="L465" i="5"/>
  <c r="X465" i="5" s="1"/>
  <c r="L331" i="5"/>
  <c r="L348" i="5"/>
  <c r="L227" i="5"/>
  <c r="L118" i="5"/>
  <c r="L448" i="5"/>
  <c r="L175" i="5"/>
  <c r="L195" i="5"/>
  <c r="L428" i="5"/>
  <c r="L45" i="5"/>
  <c r="L15" i="5"/>
  <c r="L334" i="5"/>
  <c r="S510" i="5"/>
  <c r="R510" i="5"/>
  <c r="Q510" i="5"/>
  <c r="O510" i="5" s="1"/>
  <c r="M510" i="5"/>
  <c r="L510" i="5"/>
  <c r="L429" i="5"/>
  <c r="L198" i="5"/>
  <c r="L147" i="5"/>
  <c r="L445" i="5"/>
  <c r="L159" i="5"/>
  <c r="L213" i="5"/>
  <c r="S481" i="5"/>
  <c r="R481" i="5"/>
  <c r="Q481" i="5"/>
  <c r="O481" i="5" s="1"/>
  <c r="M481" i="5"/>
  <c r="L481" i="5"/>
  <c r="L310" i="5"/>
  <c r="L375" i="5"/>
  <c r="L267" i="5"/>
  <c r="L394" i="5"/>
  <c r="L403" i="5"/>
  <c r="L252" i="5"/>
  <c r="L418" i="5"/>
  <c r="L388" i="5"/>
  <c r="L386" i="5"/>
  <c r="L201" i="5"/>
  <c r="L82" i="5"/>
  <c r="S463" i="5"/>
  <c r="R463" i="5"/>
  <c r="Q463" i="5"/>
  <c r="O463" i="5" s="1"/>
  <c r="M463" i="5"/>
  <c r="L463" i="5"/>
  <c r="L29" i="5"/>
  <c r="L22" i="5"/>
  <c r="S486" i="5"/>
  <c r="R486" i="5"/>
  <c r="Q486" i="5"/>
  <c r="P486" i="5" s="1"/>
  <c r="M486" i="5"/>
  <c r="L486" i="5"/>
  <c r="X486" i="5" s="1"/>
  <c r="L397" i="5"/>
  <c r="L389" i="5"/>
  <c r="L382" i="5"/>
  <c r="L200" i="5"/>
  <c r="L351" i="5"/>
  <c r="L239" i="5"/>
  <c r="L261" i="5"/>
  <c r="L385" i="5"/>
  <c r="L268" i="5"/>
  <c r="L139" i="5"/>
  <c r="S470" i="5"/>
  <c r="R470" i="5"/>
  <c r="Q470" i="5"/>
  <c r="M470" i="5"/>
  <c r="L470" i="5"/>
  <c r="L391" i="5"/>
  <c r="L176" i="5"/>
  <c r="L230" i="5"/>
  <c r="L27" i="5"/>
  <c r="S476" i="5"/>
  <c r="R476" i="5"/>
  <c r="Q476" i="5"/>
  <c r="N476" i="5" s="1"/>
  <c r="M476" i="5"/>
  <c r="L476" i="5"/>
  <c r="L12" i="5"/>
  <c r="L241" i="5"/>
  <c r="L313" i="5"/>
  <c r="S468" i="5"/>
  <c r="R468" i="5"/>
  <c r="Q468" i="5"/>
  <c r="O468" i="5" s="1"/>
  <c r="M468" i="5"/>
  <c r="L468" i="5"/>
  <c r="L203" i="5"/>
  <c r="L238" i="5"/>
  <c r="S464" i="5"/>
  <c r="R464" i="5"/>
  <c r="Q464" i="5"/>
  <c r="N464" i="5" s="1"/>
  <c r="M464" i="5"/>
  <c r="L464" i="5"/>
  <c r="L433" i="5"/>
  <c r="L157" i="5"/>
  <c r="L456" i="5"/>
  <c r="L430" i="5"/>
  <c r="L434" i="5"/>
  <c r="L435" i="5"/>
  <c r="L142" i="5"/>
  <c r="L333" i="5"/>
  <c r="S466" i="5"/>
  <c r="R466" i="5"/>
  <c r="Q466" i="5"/>
  <c r="O466" i="5" s="1"/>
  <c r="M466" i="5"/>
  <c r="L466" i="5"/>
  <c r="L437" i="5"/>
  <c r="L202" i="5"/>
  <c r="S482" i="5"/>
  <c r="R482" i="5"/>
  <c r="Q482" i="5"/>
  <c r="P482" i="5" s="1"/>
  <c r="M482" i="5"/>
  <c r="L482" i="5"/>
  <c r="X482" i="5" s="1"/>
  <c r="L399" i="5"/>
  <c r="L401" i="5"/>
  <c r="L228" i="5"/>
  <c r="L83" i="5"/>
  <c r="S462" i="5"/>
  <c r="R462" i="5"/>
  <c r="Q462" i="5"/>
  <c r="P462" i="5" s="1"/>
  <c r="M462" i="5"/>
  <c r="L462" i="5"/>
  <c r="L247" i="5"/>
  <c r="L381" i="5"/>
  <c r="L141" i="5"/>
  <c r="L116" i="5"/>
  <c r="L371" i="5"/>
  <c r="L260" i="5"/>
  <c r="L148" i="5"/>
  <c r="L269" i="5"/>
  <c r="L384" i="5"/>
  <c r="L378" i="5"/>
  <c r="S479" i="5"/>
  <c r="R479" i="5"/>
  <c r="Q479" i="5"/>
  <c r="P479" i="5" s="1"/>
  <c r="M479" i="5"/>
  <c r="L479" i="5"/>
  <c r="S490" i="5"/>
  <c r="R490" i="5"/>
  <c r="Q490" i="5"/>
  <c r="M490" i="5"/>
  <c r="L490" i="5"/>
  <c r="S188" i="5"/>
  <c r="R188" i="5"/>
  <c r="Q188" i="5"/>
  <c r="M188" i="5"/>
  <c r="L188" i="5"/>
  <c r="X188" i="5" s="1"/>
  <c r="L431" i="5"/>
  <c r="L151" i="5"/>
  <c r="L137" i="5"/>
  <c r="L353" i="5"/>
  <c r="L117" i="5"/>
  <c r="L335" i="5"/>
  <c r="L80" i="5"/>
  <c r="L31" i="5"/>
  <c r="L181" i="5"/>
  <c r="L395" i="5"/>
  <c r="L208" i="5"/>
  <c r="S488" i="5"/>
  <c r="R488" i="5"/>
  <c r="Q488" i="5"/>
  <c r="O488" i="5" s="1"/>
  <c r="M488" i="5"/>
  <c r="L488" i="5"/>
  <c r="X488" i="5" s="1"/>
  <c r="L406" i="5"/>
  <c r="L44" i="5"/>
  <c r="L387" i="5"/>
  <c r="L138" i="5"/>
  <c r="L250" i="5"/>
  <c r="L270" i="5"/>
  <c r="L376" i="5"/>
  <c r="L78" i="5"/>
  <c r="S461" i="5"/>
  <c r="R461" i="5"/>
  <c r="Q461" i="5"/>
  <c r="O461" i="5" s="1"/>
  <c r="M461" i="5"/>
  <c r="L461" i="5"/>
  <c r="L393" i="5"/>
  <c r="L328" i="5"/>
  <c r="S485" i="5"/>
  <c r="R485" i="5"/>
  <c r="Q485" i="5"/>
  <c r="O485" i="5" s="1"/>
  <c r="M485" i="5"/>
  <c r="L485" i="5"/>
  <c r="L77" i="5"/>
  <c r="L377" i="5"/>
  <c r="L232" i="5"/>
  <c r="S467" i="5"/>
  <c r="R467" i="5"/>
  <c r="Q467" i="5"/>
  <c r="O467" i="5" s="1"/>
  <c r="M467" i="5"/>
  <c r="L467" i="5"/>
  <c r="X467" i="5" s="1"/>
  <c r="L404" i="5"/>
  <c r="S489" i="5"/>
  <c r="R489" i="5"/>
  <c r="Q489" i="5"/>
  <c r="O489" i="5" s="1"/>
  <c r="M489" i="5"/>
  <c r="L489" i="5"/>
  <c r="L336" i="5"/>
  <c r="L150" i="5"/>
  <c r="S355" i="5"/>
  <c r="R355" i="5"/>
  <c r="Q355" i="5"/>
  <c r="P355" i="5" s="1"/>
  <c r="M355" i="5"/>
  <c r="L355" i="5"/>
  <c r="S487" i="5"/>
  <c r="R487" i="5"/>
  <c r="Q487" i="5"/>
  <c r="O487" i="5" s="1"/>
  <c r="M487" i="5"/>
  <c r="L487" i="5"/>
  <c r="L146" i="5"/>
  <c r="L196" i="5"/>
  <c r="L372" i="5"/>
  <c r="L420" i="5"/>
  <c r="L436" i="5"/>
  <c r="L421" i="5"/>
  <c r="S358" i="5"/>
  <c r="R358" i="5"/>
  <c r="Q358" i="5"/>
  <c r="M358" i="5"/>
  <c r="L358" i="5"/>
  <c r="L369" i="5"/>
  <c r="L233" i="5"/>
  <c r="L240" i="5"/>
  <c r="S507" i="5"/>
  <c r="R507" i="5"/>
  <c r="Q507" i="5"/>
  <c r="O507" i="5" s="1"/>
  <c r="M507" i="5"/>
  <c r="L507" i="5"/>
  <c r="X507" i="5" s="1"/>
  <c r="L248" i="5"/>
  <c r="L236" i="5"/>
  <c r="S477" i="5"/>
  <c r="R477" i="5"/>
  <c r="Q477" i="5"/>
  <c r="M477" i="5"/>
  <c r="L477" i="5"/>
  <c r="L85" i="5"/>
  <c r="L272" i="5"/>
  <c r="L36" i="5"/>
  <c r="L168" i="5"/>
  <c r="L392" i="5"/>
  <c r="S357" i="5"/>
  <c r="R357" i="5"/>
  <c r="Q357" i="5"/>
  <c r="M357" i="5"/>
  <c r="L357" i="5"/>
  <c r="S253" i="5"/>
  <c r="R253" i="5"/>
  <c r="Q253" i="5"/>
  <c r="O253" i="5" s="1"/>
  <c r="P1057" i="5" s="1"/>
  <c r="M253" i="5"/>
  <c r="L253" i="5"/>
  <c r="L84" i="5"/>
  <c r="S474" i="5"/>
  <c r="R474" i="5"/>
  <c r="Q474" i="5"/>
  <c r="P474" i="5" s="1"/>
  <c r="M474" i="5"/>
  <c r="L474" i="5"/>
  <c r="S478" i="5"/>
  <c r="R478" i="5"/>
  <c r="Q478" i="5"/>
  <c r="M478" i="5"/>
  <c r="L478" i="5"/>
  <c r="X478" i="5" s="1"/>
  <c r="L408" i="5"/>
  <c r="L161" i="5"/>
  <c r="L231" i="5"/>
  <c r="L17" i="5"/>
  <c r="L400" i="5"/>
  <c r="L297" i="5"/>
  <c r="L263" i="5"/>
  <c r="L419" i="5"/>
  <c r="S362" i="5"/>
  <c r="R362" i="5"/>
  <c r="Q362" i="5"/>
  <c r="O362" i="5" s="1"/>
  <c r="M362" i="5"/>
  <c r="L362" i="5"/>
  <c r="L398" i="5"/>
  <c r="S475" i="5"/>
  <c r="R475" i="5"/>
  <c r="Q475" i="5"/>
  <c r="M475" i="5"/>
  <c r="L475" i="5"/>
  <c r="L79" i="5"/>
  <c r="L158" i="5"/>
  <c r="L235" i="5"/>
  <c r="L337" i="5"/>
  <c r="L40" i="5"/>
  <c r="S361" i="5"/>
  <c r="R361" i="5"/>
  <c r="Q361" i="5"/>
  <c r="N361" i="5" s="1"/>
  <c r="M361" i="5"/>
  <c r="L361" i="5"/>
  <c r="L166" i="5"/>
  <c r="L108" i="5"/>
  <c r="S509" i="5"/>
  <c r="R509" i="5"/>
  <c r="Q509" i="5"/>
  <c r="P509" i="5" s="1"/>
  <c r="M509" i="5"/>
  <c r="L509" i="5"/>
  <c r="X509" i="5" s="1"/>
  <c r="S471" i="5"/>
  <c r="R471" i="5"/>
  <c r="Q471" i="5"/>
  <c r="N471" i="5" s="1"/>
  <c r="M471" i="5"/>
  <c r="L471" i="5"/>
  <c r="X471" i="5" s="1"/>
  <c r="S254" i="5"/>
  <c r="R254" i="5"/>
  <c r="Q254" i="5"/>
  <c r="O254" i="5" s="1"/>
  <c r="P1058" i="5" s="1"/>
  <c r="M254" i="5"/>
  <c r="L254" i="5"/>
  <c r="L209" i="5"/>
  <c r="S205" i="5"/>
  <c r="R205" i="5"/>
  <c r="Q205" i="5"/>
  <c r="M205" i="5"/>
  <c r="L205" i="5"/>
  <c r="S356" i="5"/>
  <c r="R356" i="5"/>
  <c r="Q356" i="5"/>
  <c r="N356" i="5" s="1"/>
  <c r="M356" i="5"/>
  <c r="L356" i="5"/>
  <c r="L28" i="5"/>
  <c r="S330" i="5"/>
  <c r="R330" i="5"/>
  <c r="Q330" i="5"/>
  <c r="N330" i="5" s="1"/>
  <c r="M330" i="5"/>
  <c r="L330" i="5"/>
  <c r="L211" i="5"/>
  <c r="L311" i="5"/>
  <c r="L262" i="5"/>
  <c r="L242" i="5"/>
  <c r="S469" i="5"/>
  <c r="R469" i="5"/>
  <c r="Q469" i="5"/>
  <c r="N469" i="5" s="1"/>
  <c r="M469" i="5"/>
  <c r="L469" i="5"/>
  <c r="X469" i="5" s="1"/>
  <c r="L54" i="5"/>
  <c r="L379" i="5"/>
  <c r="L55" i="5"/>
  <c r="S473" i="5"/>
  <c r="R473" i="5"/>
  <c r="Q473" i="5"/>
  <c r="N473" i="5" s="1"/>
  <c r="M473" i="5"/>
  <c r="L473" i="5"/>
  <c r="L210" i="5"/>
  <c r="L63" i="5"/>
  <c r="L68" i="5"/>
  <c r="L322" i="5"/>
  <c r="L197" i="5"/>
  <c r="L229" i="5"/>
  <c r="L273" i="5"/>
  <c r="L432" i="5"/>
  <c r="L204" i="5"/>
  <c r="L100" i="5"/>
  <c r="L98" i="5"/>
  <c r="L340" i="5"/>
  <c r="L453" i="5"/>
  <c r="L444" i="5"/>
  <c r="L447" i="5"/>
  <c r="L319" i="5"/>
  <c r="L317" i="5"/>
  <c r="L314" i="5"/>
  <c r="L325" i="5"/>
  <c r="L449" i="5"/>
  <c r="L306" i="5"/>
  <c r="L324" i="5"/>
  <c r="L294" i="5"/>
  <c r="L292" i="5"/>
  <c r="L290" i="5"/>
  <c r="L413" i="5"/>
  <c r="L411" i="5"/>
  <c r="L409" i="5"/>
  <c r="L244" i="5"/>
  <c r="L285" i="5"/>
  <c r="L282" i="5"/>
  <c r="L279" i="5"/>
  <c r="L440" i="5"/>
  <c r="L133" i="5"/>
  <c r="L125" i="5"/>
  <c r="L124" i="5"/>
  <c r="L122" i="5"/>
  <c r="L92" i="5"/>
  <c r="L90" i="5"/>
  <c r="L88" i="5"/>
  <c r="L339" i="5"/>
  <c r="L120" i="5"/>
  <c r="L81" i="5"/>
  <c r="L112" i="5"/>
  <c r="L367" i="5"/>
  <c r="L364" i="5"/>
  <c r="L162" i="5"/>
  <c r="L155" i="5"/>
  <c r="L153" i="5"/>
  <c r="L111" i="5"/>
  <c r="L24" i="5"/>
  <c r="L20" i="5"/>
  <c r="S483" i="5"/>
  <c r="R483" i="5"/>
  <c r="Q483" i="5"/>
  <c r="O483" i="5" s="1"/>
  <c r="M483" i="5"/>
  <c r="L483" i="5"/>
  <c r="S480" i="5"/>
  <c r="R480" i="5"/>
  <c r="Q480" i="5"/>
  <c r="N480" i="5" s="1"/>
  <c r="M480" i="5"/>
  <c r="L480" i="5"/>
  <c r="S472" i="5"/>
  <c r="R472" i="5"/>
  <c r="Q472" i="5"/>
  <c r="P472" i="5" s="1"/>
  <c r="M472" i="5"/>
  <c r="L472" i="5"/>
  <c r="S460" i="5"/>
  <c r="R460" i="5"/>
  <c r="Q460" i="5"/>
  <c r="O460" i="5" s="1"/>
  <c r="M460" i="5"/>
  <c r="L460" i="5"/>
  <c r="S459" i="5"/>
  <c r="R459" i="5"/>
  <c r="Q459" i="5"/>
  <c r="P459" i="5" s="1"/>
  <c r="M459" i="5"/>
  <c r="L459" i="5"/>
  <c r="S359" i="5"/>
  <c r="R359" i="5"/>
  <c r="Q359" i="5"/>
  <c r="P359" i="5" s="1"/>
  <c r="M359" i="5"/>
  <c r="L359" i="5"/>
  <c r="S354" i="5"/>
  <c r="R354" i="5"/>
  <c r="Q354" i="5"/>
  <c r="P354" i="5" s="1"/>
  <c r="M354" i="5"/>
  <c r="L354" i="5"/>
  <c r="L86" i="5"/>
  <c r="L312" i="5"/>
  <c r="L271" i="5"/>
  <c r="L234" i="5"/>
  <c r="L165" i="5"/>
  <c r="L164" i="5"/>
  <c r="L114" i="5"/>
  <c r="L327" i="5"/>
  <c r="L287" i="5"/>
  <c r="L304" i="5"/>
  <c r="L303" i="5"/>
  <c r="L134" i="5"/>
  <c r="L194" i="5"/>
  <c r="L102" i="5"/>
  <c r="L318" i="5"/>
  <c r="L94" i="5"/>
  <c r="L91" i="5"/>
  <c r="L130" i="5"/>
  <c r="L163" i="5"/>
  <c r="L363" i="5"/>
  <c r="L154" i="5"/>
  <c r="L152" i="5"/>
  <c r="L169" i="5"/>
  <c r="L183" i="5"/>
  <c r="L299" i="5"/>
  <c r="L298" i="5"/>
  <c r="L224" i="5"/>
  <c r="L257" i="5"/>
  <c r="L347" i="5"/>
  <c r="L345" i="5"/>
  <c r="L171" i="5"/>
  <c r="L67" i="5"/>
  <c r="L66" i="5"/>
  <c r="L64" i="5"/>
  <c r="L62" i="5"/>
  <c r="L60" i="5"/>
  <c r="L58" i="5"/>
  <c r="L56" i="5"/>
  <c r="L43" i="5"/>
  <c r="L38" i="5"/>
  <c r="L35" i="5"/>
  <c r="L7" i="5"/>
  <c r="L6" i="5"/>
  <c r="S484" i="5"/>
  <c r="R484" i="5"/>
  <c r="Q484" i="5"/>
  <c r="N484" i="5" s="1"/>
  <c r="M484" i="5"/>
  <c r="L484" i="5"/>
  <c r="X484" i="5" s="1"/>
  <c r="S458" i="5"/>
  <c r="R458" i="5"/>
  <c r="Q458" i="5"/>
  <c r="M458" i="5"/>
  <c r="L458" i="5"/>
  <c r="X458" i="5" s="1"/>
  <c r="S457" i="5"/>
  <c r="R457" i="5"/>
  <c r="Q457" i="5"/>
  <c r="N457" i="5" s="1"/>
  <c r="M457" i="5"/>
  <c r="L457" i="5"/>
  <c r="S206" i="5"/>
  <c r="R206" i="5"/>
  <c r="Q206" i="5"/>
  <c r="O206" i="5" s="1"/>
  <c r="M206" i="5"/>
  <c r="L206" i="5"/>
  <c r="S255" i="5"/>
  <c r="R255" i="5"/>
  <c r="Q255" i="5"/>
  <c r="N255" i="5" s="1"/>
  <c r="M255" i="5"/>
  <c r="L255" i="5"/>
  <c r="S360" i="5"/>
  <c r="R360" i="5"/>
  <c r="Q360" i="5"/>
  <c r="P360" i="5" s="1"/>
  <c r="M360" i="5"/>
  <c r="L360" i="5"/>
  <c r="L140" i="5"/>
  <c r="L199" i="5"/>
  <c r="L119" i="5"/>
  <c r="L249" i="5"/>
  <c r="L439" i="5"/>
  <c r="L370" i="5"/>
  <c r="L390" i="5"/>
  <c r="L115" i="5"/>
  <c r="L374" i="5"/>
  <c r="L212" i="5"/>
  <c r="L251" i="5"/>
  <c r="L187" i="5"/>
  <c r="L455" i="5"/>
  <c r="L451" i="5"/>
  <c r="L308" i="5"/>
  <c r="L278" i="5"/>
  <c r="L296" i="5"/>
  <c r="L415" i="5"/>
  <c r="L414" i="5"/>
  <c r="L245" i="5"/>
  <c r="L442" i="5"/>
  <c r="L135" i="5"/>
  <c r="L101" i="5"/>
  <c r="L274" i="5"/>
  <c r="L441" i="5"/>
  <c r="L300" i="5"/>
  <c r="L190" i="5"/>
  <c r="L189" i="5"/>
  <c r="L193" i="5"/>
  <c r="L192" i="5"/>
  <c r="L96" i="5"/>
  <c r="L95" i="5"/>
  <c r="L126" i="5"/>
  <c r="L93" i="5"/>
  <c r="L365" i="5"/>
  <c r="L109" i="5"/>
  <c r="L107" i="5"/>
  <c r="L145" i="5"/>
  <c r="L106" i="5"/>
  <c r="L105" i="5"/>
  <c r="L104" i="5"/>
  <c r="L103" i="5"/>
  <c r="L427" i="5"/>
  <c r="L426" i="5"/>
  <c r="L425" i="5"/>
  <c r="L423" i="5"/>
  <c r="L422" i="5"/>
  <c r="L329" i="5"/>
  <c r="L170" i="5"/>
  <c r="L343" i="5"/>
  <c r="L113" i="5"/>
  <c r="L174" i="5"/>
  <c r="L173" i="5"/>
  <c r="L178" i="5"/>
  <c r="L177" i="5"/>
  <c r="L184" i="5"/>
  <c r="L186" i="5"/>
  <c r="L180" i="5"/>
  <c r="L179" i="5"/>
  <c r="L75" i="5"/>
  <c r="L74" i="5"/>
  <c r="L221" i="5"/>
  <c r="L220" i="5"/>
  <c r="L219" i="5"/>
  <c r="L218" i="5"/>
  <c r="L216" i="5"/>
  <c r="L215" i="5"/>
  <c r="L407" i="5"/>
  <c r="L259" i="5"/>
  <c r="L71" i="5"/>
  <c r="L4" i="5"/>
  <c r="L3" i="5"/>
  <c r="S493" i="5"/>
  <c r="R493" i="5"/>
  <c r="Q493" i="5"/>
  <c r="N493" i="5" s="1"/>
  <c r="M493" i="5"/>
  <c r="L493" i="5"/>
  <c r="S492" i="5"/>
  <c r="R492" i="5"/>
  <c r="Q492" i="5"/>
  <c r="N492" i="5" s="1"/>
  <c r="M492" i="5"/>
  <c r="L492" i="5"/>
  <c r="X492" i="5" s="1"/>
  <c r="S491" i="5"/>
  <c r="R491" i="5"/>
  <c r="Q491" i="5"/>
  <c r="P491" i="5" s="1"/>
  <c r="M491" i="5"/>
  <c r="L491" i="5"/>
  <c r="L402" i="5"/>
  <c r="L128" i="5"/>
  <c r="L424" i="5"/>
  <c r="L185" i="5"/>
  <c r="L352" i="5"/>
  <c r="L2" i="5"/>
  <c r="L346" i="5"/>
  <c r="L46" i="5"/>
  <c r="L42" i="5"/>
  <c r="L61" i="5"/>
  <c r="L172" i="5"/>
  <c r="L217" i="5"/>
  <c r="L281" i="5"/>
  <c r="L182" i="5"/>
  <c r="L226" i="5"/>
  <c r="L47" i="5"/>
  <c r="L214" i="5"/>
  <c r="L8" i="5"/>
  <c r="L41" i="5"/>
  <c r="S500" i="5"/>
  <c r="R500" i="5"/>
  <c r="Q500" i="5"/>
  <c r="N500" i="5" s="1"/>
  <c r="M500" i="5"/>
  <c r="L500" i="5"/>
  <c r="L51" i="5"/>
  <c r="S508" i="5"/>
  <c r="R508" i="5"/>
  <c r="Q508" i="5"/>
  <c r="P508" i="5" s="1"/>
  <c r="M508" i="5"/>
  <c r="L508" i="5"/>
  <c r="L264" i="5"/>
  <c r="S499" i="5"/>
  <c r="R499" i="5"/>
  <c r="Q499" i="5"/>
  <c r="N499" i="5" s="1"/>
  <c r="M499" i="5"/>
  <c r="L499" i="5"/>
  <c r="S497" i="5"/>
  <c r="R497" i="5"/>
  <c r="Q497" i="5"/>
  <c r="P497" i="5" s="1"/>
  <c r="M497" i="5"/>
  <c r="L497" i="5"/>
  <c r="L315" i="5"/>
  <c r="L289" i="5"/>
  <c r="L452" i="5"/>
  <c r="T452" i="5" s="1"/>
  <c r="L65" i="5"/>
  <c r="L438" i="5"/>
  <c r="L167" i="5"/>
  <c r="L57" i="5"/>
  <c r="L69" i="5"/>
  <c r="L37" i="5"/>
  <c r="L450" i="5"/>
  <c r="L380" i="5"/>
  <c r="L258" i="5"/>
  <c r="L412" i="5"/>
  <c r="L50" i="5"/>
  <c r="L30" i="5"/>
  <c r="S495" i="5"/>
  <c r="R495" i="5"/>
  <c r="Q495" i="5"/>
  <c r="P495" i="5" s="1"/>
  <c r="M495" i="5"/>
  <c r="L495" i="5"/>
  <c r="L207" i="5"/>
  <c r="L266" i="5"/>
  <c r="L33" i="5"/>
  <c r="L53" i="5"/>
  <c r="L59" i="5"/>
  <c r="L39" i="5"/>
  <c r="L48" i="5"/>
  <c r="L127" i="5"/>
  <c r="L21" i="5"/>
  <c r="L49" i="5"/>
  <c r="L316" i="5"/>
  <c r="L144" i="5"/>
  <c r="L19" i="5"/>
  <c r="L446" i="5"/>
  <c r="L32" i="5"/>
  <c r="L11" i="5"/>
  <c r="L276" i="5"/>
  <c r="L223" i="5"/>
  <c r="S504" i="5"/>
  <c r="R504" i="5"/>
  <c r="Q504" i="5"/>
  <c r="N504" i="5" s="1"/>
  <c r="M504" i="5"/>
  <c r="L504" i="5"/>
  <c r="X504" i="5" s="1"/>
  <c r="L225" i="5"/>
  <c r="S501" i="5"/>
  <c r="R501" i="5"/>
  <c r="Q501" i="5"/>
  <c r="P501" i="5" s="1"/>
  <c r="M501" i="5"/>
  <c r="L501" i="5"/>
  <c r="X501" i="5" s="1"/>
  <c r="L443" i="5"/>
  <c r="S503" i="5"/>
  <c r="R503" i="5"/>
  <c r="Q503" i="5"/>
  <c r="N503" i="5" s="1"/>
  <c r="M503" i="5"/>
  <c r="L503" i="5"/>
  <c r="X503" i="5" s="1"/>
  <c r="L291" i="5"/>
  <c r="S498" i="5"/>
  <c r="R498" i="5"/>
  <c r="Q498" i="5"/>
  <c r="O498" i="5" s="1"/>
  <c r="M498" i="5"/>
  <c r="L498" i="5"/>
  <c r="L454" i="5"/>
  <c r="S505" i="5"/>
  <c r="R505" i="5"/>
  <c r="Q505" i="5"/>
  <c r="N505" i="5" s="1"/>
  <c r="M505" i="5"/>
  <c r="L505" i="5"/>
  <c r="S496" i="5"/>
  <c r="R496" i="5"/>
  <c r="Q496" i="5"/>
  <c r="P496" i="5" s="1"/>
  <c r="M496" i="5"/>
  <c r="L496" i="5"/>
  <c r="X496" i="5" s="1"/>
  <c r="S502" i="5"/>
  <c r="R502" i="5"/>
  <c r="Q502" i="5"/>
  <c r="N502" i="5" s="1"/>
  <c r="M502" i="5"/>
  <c r="L502" i="5"/>
  <c r="L410" i="5"/>
  <c r="L293" i="5"/>
  <c r="L323" i="5"/>
  <c r="L350" i="5"/>
  <c r="S506" i="5"/>
  <c r="R506" i="5"/>
  <c r="Q506" i="5"/>
  <c r="N506" i="5" s="1"/>
  <c r="M506" i="5"/>
  <c r="L506" i="5"/>
  <c r="X506" i="5" s="1"/>
  <c r="L14" i="5"/>
  <c r="L222" i="5"/>
  <c r="L341" i="5"/>
  <c r="S494" i="5"/>
  <c r="R494" i="5"/>
  <c r="Q494" i="5"/>
  <c r="N494" i="5" s="1"/>
  <c r="M494" i="5"/>
  <c r="L494" i="5"/>
  <c r="X494" i="5" s="1"/>
  <c r="L243" i="5"/>
  <c r="L265" i="5"/>
  <c r="L326" i="5"/>
  <c r="L97" i="5"/>
  <c r="L286" i="5"/>
  <c r="L284" i="5"/>
  <c r="L132" i="5"/>
  <c r="L344" i="5"/>
  <c r="L99" i="5"/>
  <c r="L25" i="5"/>
  <c r="L338" i="5"/>
  <c r="L89" i="5"/>
  <c r="L9" i="5"/>
  <c r="L110" i="5"/>
  <c r="L307" i="5"/>
  <c r="L16" i="5"/>
  <c r="L156" i="5"/>
  <c r="L10" i="5"/>
  <c r="L366" i="5"/>
  <c r="L275" i="5"/>
  <c r="L72" i="5"/>
  <c r="L301" i="5"/>
  <c r="L121" i="5"/>
  <c r="L131" i="5"/>
  <c r="L123" i="5"/>
  <c r="L87" i="5"/>
  <c r="AN481" i="3"/>
  <c r="AN466" i="3"/>
  <c r="AH466" i="3"/>
  <c r="R361" i="3"/>
  <c r="N351" i="3"/>
  <c r="F348" i="3"/>
  <c r="N287" i="3"/>
  <c r="F284" i="3"/>
  <c r="F247" i="3"/>
  <c r="N231" i="3"/>
  <c r="L191" i="3"/>
  <c r="F191" i="3"/>
  <c r="M181" i="3"/>
  <c r="K181" i="3"/>
  <c r="R178" i="3"/>
  <c r="B85" i="3"/>
  <c r="A85" i="3" s="1"/>
  <c r="B84" i="3"/>
  <c r="A84" i="3" s="1"/>
  <c r="B83" i="3"/>
  <c r="A83" i="3" s="1"/>
  <c r="B78" i="3"/>
  <c r="Q78" i="3" s="1"/>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O6" i="3" s="1"/>
  <c r="B5" i="3"/>
  <c r="S1" i="3"/>
  <c r="C1" i="3"/>
  <c r="A3" i="2"/>
  <c r="A2" i="2"/>
  <c r="G215" i="10" l="1"/>
  <c r="G260" i="10"/>
  <c r="G494" i="10"/>
  <c r="Y497" i="17"/>
  <c r="Z500" i="17"/>
  <c r="O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21" i="5"/>
  <c r="T121" i="5"/>
  <c r="W121" i="5"/>
  <c r="V121" i="5"/>
  <c r="U366" i="5"/>
  <c r="V366" i="5"/>
  <c r="T366" i="5"/>
  <c r="W366" i="5"/>
  <c r="U307" i="5"/>
  <c r="V307" i="5"/>
  <c r="T307" i="5"/>
  <c r="W307" i="5"/>
  <c r="X338" i="5"/>
  <c r="U338" i="5"/>
  <c r="V338" i="5"/>
  <c r="W338" i="5"/>
  <c r="T338" i="5"/>
  <c r="T132" i="5"/>
  <c r="W132" i="5"/>
  <c r="U132" i="5"/>
  <c r="V132" i="5"/>
  <c r="U326" i="5"/>
  <c r="V326" i="5"/>
  <c r="T326" i="5"/>
  <c r="W326" i="5"/>
  <c r="V341" i="5"/>
  <c r="W341" i="5"/>
  <c r="T341" i="5"/>
  <c r="U341" i="5"/>
  <c r="X350" i="5"/>
  <c r="T350" i="5"/>
  <c r="U350" i="5"/>
  <c r="W350" i="5"/>
  <c r="V350" i="5"/>
  <c r="X276" i="5"/>
  <c r="T276" i="5"/>
  <c r="U276" i="5"/>
  <c r="V276" i="5"/>
  <c r="W276" i="5"/>
  <c r="V19" i="5"/>
  <c r="W19" i="5"/>
  <c r="T19" i="5"/>
  <c r="U19" i="5"/>
  <c r="W21" i="5"/>
  <c r="T21" i="5"/>
  <c r="V21" i="5"/>
  <c r="U21" i="5"/>
  <c r="V59" i="5"/>
  <c r="W59" i="5"/>
  <c r="T59" i="5"/>
  <c r="U59" i="5"/>
  <c r="X207" i="5"/>
  <c r="W207" i="5"/>
  <c r="T207" i="5"/>
  <c r="V207" i="5"/>
  <c r="U207" i="5"/>
  <c r="U412" i="5"/>
  <c r="V412" i="5"/>
  <c r="W412" i="5"/>
  <c r="T412" i="5"/>
  <c r="T37" i="5"/>
  <c r="W37" i="5"/>
  <c r="V37" i="5"/>
  <c r="U37" i="5"/>
  <c r="V438" i="5"/>
  <c r="W438" i="5"/>
  <c r="U438" i="5"/>
  <c r="T438" i="5"/>
  <c r="X315" i="5"/>
  <c r="U315" i="5"/>
  <c r="V315" i="5"/>
  <c r="T315" i="5"/>
  <c r="W315" i="5"/>
  <c r="W8" i="5"/>
  <c r="T8" i="5"/>
  <c r="U8" i="5"/>
  <c r="V8" i="5"/>
  <c r="T182" i="5"/>
  <c r="U182" i="5"/>
  <c r="W182" i="5"/>
  <c r="V182" i="5"/>
  <c r="X61" i="5"/>
  <c r="W61" i="5"/>
  <c r="V61" i="5"/>
  <c r="T61" i="5"/>
  <c r="U61" i="5"/>
  <c r="V2" i="5"/>
  <c r="W2" i="5"/>
  <c r="T2" i="5"/>
  <c r="U2" i="5"/>
  <c r="X128" i="5"/>
  <c r="U128" i="5"/>
  <c r="V128" i="5"/>
  <c r="W128" i="5"/>
  <c r="T128" i="5"/>
  <c r="X259" i="5"/>
  <c r="V259" i="5"/>
  <c r="W259" i="5"/>
  <c r="T259" i="5"/>
  <c r="U259" i="5"/>
  <c r="T218" i="5"/>
  <c r="U218" i="5"/>
  <c r="W218" i="5"/>
  <c r="V218" i="5"/>
  <c r="V74" i="5"/>
  <c r="W74" i="5"/>
  <c r="T74" i="5"/>
  <c r="U74" i="5"/>
  <c r="T186" i="5"/>
  <c r="U186" i="5"/>
  <c r="V186" i="5"/>
  <c r="W186" i="5"/>
  <c r="V173" i="5"/>
  <c r="W173" i="5"/>
  <c r="T173" i="5"/>
  <c r="U173" i="5"/>
  <c r="V170" i="5"/>
  <c r="W170" i="5"/>
  <c r="U170" i="5"/>
  <c r="T170" i="5"/>
  <c r="W425" i="5"/>
  <c r="T425" i="5"/>
  <c r="V425" i="5"/>
  <c r="U425" i="5"/>
  <c r="U104" i="5"/>
  <c r="V104" i="5"/>
  <c r="W104" i="5"/>
  <c r="T104" i="5"/>
  <c r="W107" i="5"/>
  <c r="T107" i="5"/>
  <c r="U107" i="5"/>
  <c r="V107" i="5"/>
  <c r="V126" i="5"/>
  <c r="W126" i="5"/>
  <c r="T126" i="5"/>
  <c r="U126" i="5"/>
  <c r="U193" i="5"/>
  <c r="W193" i="5"/>
  <c r="V193" i="5"/>
  <c r="T193" i="5"/>
  <c r="X441" i="5"/>
  <c r="T441" i="5"/>
  <c r="U441" i="5"/>
  <c r="V441" i="5"/>
  <c r="W441" i="5"/>
  <c r="W442" i="5"/>
  <c r="T442" i="5"/>
  <c r="U442" i="5"/>
  <c r="V442" i="5"/>
  <c r="V296" i="5"/>
  <c r="W296" i="5"/>
  <c r="T296" i="5"/>
  <c r="U296" i="5"/>
  <c r="W455" i="5"/>
  <c r="T455" i="5"/>
  <c r="U455" i="5"/>
  <c r="V455" i="5"/>
  <c r="T374" i="5"/>
  <c r="U374" i="5"/>
  <c r="V374" i="5"/>
  <c r="W374" i="5"/>
  <c r="W439" i="5"/>
  <c r="T439" i="5"/>
  <c r="V439" i="5"/>
  <c r="U439" i="5"/>
  <c r="T140" i="5"/>
  <c r="U140" i="5"/>
  <c r="V140" i="5"/>
  <c r="W140" i="5"/>
  <c r="X7" i="5"/>
  <c r="T7" i="5"/>
  <c r="U7" i="5"/>
  <c r="W7" i="5"/>
  <c r="V7" i="5"/>
  <c r="X56" i="5"/>
  <c r="T56" i="5"/>
  <c r="U56" i="5"/>
  <c r="V56" i="5"/>
  <c r="W56" i="5"/>
  <c r="U64" i="5"/>
  <c r="V64" i="5"/>
  <c r="T64" i="5"/>
  <c r="W64" i="5"/>
  <c r="X345" i="5"/>
  <c r="V345" i="5"/>
  <c r="W345" i="5"/>
  <c r="T345" i="5"/>
  <c r="U345" i="5"/>
  <c r="X298" i="5"/>
  <c r="W298" i="5"/>
  <c r="T298" i="5"/>
  <c r="V298" i="5"/>
  <c r="U298" i="5"/>
  <c r="X152" i="5"/>
  <c r="U152" i="5"/>
  <c r="V152" i="5"/>
  <c r="T152" i="5"/>
  <c r="W152" i="5"/>
  <c r="W130" i="5"/>
  <c r="T130" i="5"/>
  <c r="V130" i="5"/>
  <c r="U130" i="5"/>
  <c r="T102" i="5"/>
  <c r="U102" i="5"/>
  <c r="V102" i="5"/>
  <c r="W102" i="5"/>
  <c r="V304" i="5"/>
  <c r="W304" i="5"/>
  <c r="T304" i="5"/>
  <c r="U304" i="5"/>
  <c r="X164" i="5"/>
  <c r="U164" i="5"/>
  <c r="V164" i="5"/>
  <c r="W164" i="5"/>
  <c r="T164" i="5"/>
  <c r="W312" i="5"/>
  <c r="T312" i="5"/>
  <c r="V312" i="5"/>
  <c r="U312" i="5"/>
  <c r="U153" i="5"/>
  <c r="V153" i="5"/>
  <c r="W153" i="5"/>
  <c r="T153" i="5"/>
  <c r="V367" i="5"/>
  <c r="W367" i="5"/>
  <c r="T367" i="5"/>
  <c r="U367" i="5"/>
  <c r="V339" i="5"/>
  <c r="W339" i="5"/>
  <c r="U339" i="5"/>
  <c r="T339" i="5"/>
  <c r="V122" i="5"/>
  <c r="W122" i="5"/>
  <c r="T122" i="5"/>
  <c r="U122" i="5"/>
  <c r="T440" i="5"/>
  <c r="U440" i="5"/>
  <c r="V440" i="5"/>
  <c r="W440" i="5"/>
  <c r="T244" i="5"/>
  <c r="U244" i="5"/>
  <c r="V244" i="5"/>
  <c r="W244" i="5"/>
  <c r="W290" i="5"/>
  <c r="T290" i="5"/>
  <c r="U290" i="5"/>
  <c r="V290" i="5"/>
  <c r="X306" i="5"/>
  <c r="U306" i="5"/>
  <c r="V306" i="5"/>
  <c r="W306" i="5"/>
  <c r="T306" i="5"/>
  <c r="X317" i="5"/>
  <c r="W317" i="5"/>
  <c r="T317" i="5"/>
  <c r="U317" i="5"/>
  <c r="V317" i="5"/>
  <c r="X453" i="5"/>
  <c r="U453" i="5"/>
  <c r="V453" i="5"/>
  <c r="T453" i="5"/>
  <c r="W453" i="5"/>
  <c r="W204" i="5"/>
  <c r="T204" i="5"/>
  <c r="U204" i="5"/>
  <c r="V204" i="5"/>
  <c r="X197" i="5"/>
  <c r="T197" i="5"/>
  <c r="U197" i="5"/>
  <c r="W197" i="5"/>
  <c r="V197" i="5"/>
  <c r="U210" i="5"/>
  <c r="V210" i="5"/>
  <c r="T210" i="5"/>
  <c r="W210" i="5"/>
  <c r="X54" i="5"/>
  <c r="U54" i="5"/>
  <c r="W54" i="5"/>
  <c r="V54" i="5"/>
  <c r="T54" i="5"/>
  <c r="X311" i="5"/>
  <c r="V311" i="5"/>
  <c r="W311" i="5"/>
  <c r="U311" i="5"/>
  <c r="T311" i="5"/>
  <c r="V158" i="5"/>
  <c r="W158" i="5"/>
  <c r="T158" i="5"/>
  <c r="U158" i="5"/>
  <c r="X400" i="5"/>
  <c r="U400" i="5"/>
  <c r="V400" i="5"/>
  <c r="T400" i="5"/>
  <c r="W400" i="5"/>
  <c r="U408" i="5"/>
  <c r="V408" i="5"/>
  <c r="T408" i="5"/>
  <c r="W408" i="5"/>
  <c r="V36" i="5"/>
  <c r="W36" i="5"/>
  <c r="T36" i="5"/>
  <c r="U36" i="5"/>
  <c r="X236" i="5"/>
  <c r="T236" i="5"/>
  <c r="U236" i="5"/>
  <c r="V236" i="5"/>
  <c r="W236" i="5"/>
  <c r="W233" i="5"/>
  <c r="T233" i="5"/>
  <c r="U233" i="5"/>
  <c r="V233" i="5"/>
  <c r="U436" i="5"/>
  <c r="V436" i="5"/>
  <c r="W436" i="5"/>
  <c r="T436" i="5"/>
  <c r="T146" i="5"/>
  <c r="U146" i="5"/>
  <c r="W146" i="5"/>
  <c r="V146" i="5"/>
  <c r="X336" i="5"/>
  <c r="W336" i="5"/>
  <c r="T336" i="5"/>
  <c r="V336" i="5"/>
  <c r="U336" i="5"/>
  <c r="W232" i="5"/>
  <c r="T232" i="5"/>
  <c r="U232" i="5"/>
  <c r="V232" i="5"/>
  <c r="T328" i="5"/>
  <c r="V328" i="5"/>
  <c r="W328" i="5"/>
  <c r="U328" i="5"/>
  <c r="T376" i="5"/>
  <c r="U376" i="5"/>
  <c r="V376" i="5"/>
  <c r="W376" i="5"/>
  <c r="X387" i="5"/>
  <c r="V387" i="5"/>
  <c r="W387" i="5"/>
  <c r="U387" i="5"/>
  <c r="T387" i="5"/>
  <c r="X208" i="5"/>
  <c r="W208" i="5"/>
  <c r="T208" i="5"/>
  <c r="U208" i="5"/>
  <c r="V208" i="5"/>
  <c r="W80" i="5"/>
  <c r="T80" i="5"/>
  <c r="U80" i="5"/>
  <c r="V80" i="5"/>
  <c r="X137" i="5"/>
  <c r="U137" i="5"/>
  <c r="V137" i="5"/>
  <c r="T137" i="5"/>
  <c r="W137" i="5"/>
  <c r="U269" i="5"/>
  <c r="V269" i="5"/>
  <c r="W269" i="5"/>
  <c r="T269" i="5"/>
  <c r="V371" i="5"/>
  <c r="W371" i="5"/>
  <c r="U371" i="5"/>
  <c r="T371" i="5"/>
  <c r="U247" i="5"/>
  <c r="V247" i="5"/>
  <c r="T247" i="5"/>
  <c r="W247" i="5"/>
  <c r="X401" i="5"/>
  <c r="V401" i="5"/>
  <c r="W401" i="5"/>
  <c r="U401" i="5"/>
  <c r="T401" i="5"/>
  <c r="V437" i="5"/>
  <c r="W437" i="5"/>
  <c r="U437" i="5"/>
  <c r="T437" i="5"/>
  <c r="V435" i="5"/>
  <c r="W435" i="5"/>
  <c r="U435" i="5"/>
  <c r="T435" i="5"/>
  <c r="X157" i="5"/>
  <c r="U157" i="5"/>
  <c r="V157" i="5"/>
  <c r="W157" i="5"/>
  <c r="T157" i="5"/>
  <c r="U203" i="5"/>
  <c r="V203" i="5"/>
  <c r="W203" i="5"/>
  <c r="T203" i="5"/>
  <c r="U12" i="5"/>
  <c r="V12" i="5"/>
  <c r="T12" i="5"/>
  <c r="W12" i="5"/>
  <c r="X176" i="5"/>
  <c r="U176" i="5"/>
  <c r="V176" i="5"/>
  <c r="T176" i="5"/>
  <c r="W176" i="5"/>
  <c r="X268" i="5"/>
  <c r="V268" i="5"/>
  <c r="W268" i="5"/>
  <c r="U268" i="5"/>
  <c r="T268" i="5"/>
  <c r="X351" i="5"/>
  <c r="T351" i="5"/>
  <c r="U351" i="5"/>
  <c r="V351" i="5"/>
  <c r="W351" i="5"/>
  <c r="T397" i="5"/>
  <c r="U397" i="5"/>
  <c r="V397" i="5"/>
  <c r="W397" i="5"/>
  <c r="X388" i="5"/>
  <c r="W388" i="5"/>
  <c r="T388" i="5"/>
  <c r="V388" i="5"/>
  <c r="U388" i="5"/>
  <c r="U394" i="5"/>
  <c r="V394" i="5"/>
  <c r="T394" i="5"/>
  <c r="W394" i="5"/>
  <c r="V147" i="5"/>
  <c r="W147" i="5"/>
  <c r="U147" i="5"/>
  <c r="T147" i="5"/>
  <c r="T334" i="5"/>
  <c r="U334" i="5"/>
  <c r="V334" i="5"/>
  <c r="W334" i="5"/>
  <c r="V195" i="5"/>
  <c r="W195" i="5"/>
  <c r="U195" i="5"/>
  <c r="T195" i="5"/>
  <c r="W227" i="5"/>
  <c r="T227" i="5"/>
  <c r="U227" i="5"/>
  <c r="V227" i="5"/>
  <c r="X405" i="5"/>
  <c r="T405" i="5"/>
  <c r="U405" i="5"/>
  <c r="V405" i="5"/>
  <c r="W405" i="5"/>
  <c r="V52" i="5"/>
  <c r="T52" i="5"/>
  <c r="U52" i="5"/>
  <c r="W52" i="5"/>
  <c r="U332" i="5"/>
  <c r="V332" i="5"/>
  <c r="W332" i="5"/>
  <c r="T332" i="5"/>
  <c r="W342" i="5"/>
  <c r="T342" i="5"/>
  <c r="U342" i="5"/>
  <c r="V342" i="5"/>
  <c r="T309" i="5"/>
  <c r="U309" i="5"/>
  <c r="V309" i="5"/>
  <c r="W309" i="5"/>
  <c r="T288" i="5"/>
  <c r="U288" i="5"/>
  <c r="V288" i="5"/>
  <c r="W288" i="5"/>
  <c r="W13" i="5"/>
  <c r="T13" i="5"/>
  <c r="V13" i="5"/>
  <c r="U13" i="5"/>
  <c r="T191" i="5"/>
  <c r="U191" i="5"/>
  <c r="V191" i="5"/>
  <c r="W191" i="5"/>
  <c r="V73" i="5"/>
  <c r="W73" i="5"/>
  <c r="T73" i="5"/>
  <c r="U73" i="5"/>
  <c r="T280" i="5"/>
  <c r="U280" i="5"/>
  <c r="V280" i="5"/>
  <c r="W280" i="5"/>
  <c r="T87" i="5"/>
  <c r="U87" i="5"/>
  <c r="V87" i="5"/>
  <c r="W87" i="5"/>
  <c r="X301" i="5"/>
  <c r="U301" i="5"/>
  <c r="V301" i="5"/>
  <c r="T301" i="5"/>
  <c r="W301" i="5"/>
  <c r="X10" i="5"/>
  <c r="V10" i="5"/>
  <c r="W10" i="5"/>
  <c r="T10" i="5"/>
  <c r="U10" i="5"/>
  <c r="T110" i="5"/>
  <c r="U110" i="5"/>
  <c r="W110" i="5"/>
  <c r="V110" i="5"/>
  <c r="X25" i="5"/>
  <c r="U25" i="5"/>
  <c r="V25" i="5"/>
  <c r="W25" i="5"/>
  <c r="T25" i="5"/>
  <c r="X284" i="5"/>
  <c r="U284" i="5"/>
  <c r="V284" i="5"/>
  <c r="W284" i="5"/>
  <c r="T284" i="5"/>
  <c r="U265" i="5"/>
  <c r="V265" i="5"/>
  <c r="T265" i="5"/>
  <c r="W265" i="5"/>
  <c r="T222" i="5"/>
  <c r="U222" i="5"/>
  <c r="V222" i="5"/>
  <c r="W222" i="5"/>
  <c r="W323" i="5"/>
  <c r="T323" i="5"/>
  <c r="V323" i="5"/>
  <c r="U323" i="5"/>
  <c r="X291" i="5"/>
  <c r="T291" i="5"/>
  <c r="U291" i="5"/>
  <c r="V291" i="5"/>
  <c r="W291" i="5"/>
  <c r="X225" i="5"/>
  <c r="W225" i="5"/>
  <c r="T225" i="5"/>
  <c r="V225" i="5"/>
  <c r="U225" i="5"/>
  <c r="X11" i="5"/>
  <c r="V11" i="5"/>
  <c r="W11" i="5"/>
  <c r="U11" i="5"/>
  <c r="T11" i="5"/>
  <c r="X144" i="5"/>
  <c r="V144" i="5"/>
  <c r="W144" i="5"/>
  <c r="U144" i="5"/>
  <c r="T144" i="5"/>
  <c r="V127" i="5"/>
  <c r="W127" i="5"/>
  <c r="U127" i="5"/>
  <c r="T127" i="5"/>
  <c r="T53" i="5"/>
  <c r="U53" i="5"/>
  <c r="V53" i="5"/>
  <c r="W53" i="5"/>
  <c r="X258" i="5"/>
  <c r="U258" i="5"/>
  <c r="V258" i="5"/>
  <c r="T258" i="5"/>
  <c r="W258" i="5"/>
  <c r="V69" i="5"/>
  <c r="W69" i="5"/>
  <c r="U69" i="5"/>
  <c r="T69" i="5"/>
  <c r="X65" i="5"/>
  <c r="W65" i="5"/>
  <c r="T65" i="5"/>
  <c r="U65" i="5"/>
  <c r="V65" i="5"/>
  <c r="X51" i="5"/>
  <c r="W51" i="5"/>
  <c r="T51" i="5"/>
  <c r="U51" i="5"/>
  <c r="V51" i="5"/>
  <c r="W214" i="5"/>
  <c r="U214" i="5"/>
  <c r="V214" i="5"/>
  <c r="T214" i="5"/>
  <c r="U281" i="5"/>
  <c r="V281" i="5"/>
  <c r="T281" i="5"/>
  <c r="W281" i="5"/>
  <c r="W42" i="5"/>
  <c r="T42" i="5"/>
  <c r="U42" i="5"/>
  <c r="V42" i="5"/>
  <c r="U352" i="5"/>
  <c r="V352" i="5"/>
  <c r="T352" i="5"/>
  <c r="W352" i="5"/>
  <c r="V402" i="5"/>
  <c r="W402" i="5"/>
  <c r="T402" i="5"/>
  <c r="U402" i="5"/>
  <c r="V3" i="5"/>
  <c r="W3" i="5"/>
  <c r="U3" i="5"/>
  <c r="T3" i="5"/>
  <c r="T407" i="5"/>
  <c r="W407" i="5"/>
  <c r="V407" i="5"/>
  <c r="U407" i="5"/>
  <c r="X219" i="5"/>
  <c r="W219" i="5"/>
  <c r="T219" i="5"/>
  <c r="U219" i="5"/>
  <c r="V219" i="5"/>
  <c r="V75" i="5"/>
  <c r="W75" i="5"/>
  <c r="U75" i="5"/>
  <c r="T75" i="5"/>
  <c r="V184" i="5"/>
  <c r="W184" i="5"/>
  <c r="T184" i="5"/>
  <c r="U184" i="5"/>
  <c r="T174" i="5"/>
  <c r="U174" i="5"/>
  <c r="W174" i="5"/>
  <c r="V174" i="5"/>
  <c r="U329" i="5"/>
  <c r="V329" i="5"/>
  <c r="T329" i="5"/>
  <c r="W329" i="5"/>
  <c r="W426" i="5"/>
  <c r="T426" i="5"/>
  <c r="U426" i="5"/>
  <c r="V426" i="5"/>
  <c r="U105" i="5"/>
  <c r="V105" i="5"/>
  <c r="T105" i="5"/>
  <c r="W105" i="5"/>
  <c r="X109" i="5"/>
  <c r="W109" i="5"/>
  <c r="T109" i="5"/>
  <c r="V109" i="5"/>
  <c r="U109" i="5"/>
  <c r="U95" i="5"/>
  <c r="W95" i="5"/>
  <c r="V95" i="5"/>
  <c r="T95" i="5"/>
  <c r="U189" i="5"/>
  <c r="T189" i="5"/>
  <c r="W189" i="5"/>
  <c r="V189" i="5"/>
  <c r="W274" i="5"/>
  <c r="T274" i="5"/>
  <c r="U274" i="5"/>
  <c r="V274" i="5"/>
  <c r="V245" i="5"/>
  <c r="W245" i="5"/>
  <c r="U245" i="5"/>
  <c r="T245" i="5"/>
  <c r="V278" i="5"/>
  <c r="U278" i="5"/>
  <c r="W278" i="5"/>
  <c r="T278" i="5"/>
  <c r="X187" i="5"/>
  <c r="T187" i="5"/>
  <c r="U187" i="5"/>
  <c r="V187" i="5"/>
  <c r="W187" i="5"/>
  <c r="X115" i="5"/>
  <c r="T115" i="5"/>
  <c r="U115" i="5"/>
  <c r="V115" i="5"/>
  <c r="W115" i="5"/>
  <c r="W249" i="5"/>
  <c r="T249" i="5"/>
  <c r="V249" i="5"/>
  <c r="U249" i="5"/>
  <c r="X35" i="5"/>
  <c r="W35" i="5"/>
  <c r="V35" i="5"/>
  <c r="T35" i="5"/>
  <c r="U35" i="5"/>
  <c r="X58" i="5"/>
  <c r="W58" i="5"/>
  <c r="V58" i="5"/>
  <c r="U58" i="5"/>
  <c r="T58" i="5"/>
  <c r="T66" i="5"/>
  <c r="U66" i="5"/>
  <c r="W66" i="5"/>
  <c r="V66" i="5"/>
  <c r="U347" i="5"/>
  <c r="V347" i="5"/>
  <c r="W347" i="5"/>
  <c r="T347" i="5"/>
  <c r="W299" i="5"/>
  <c r="T299" i="5"/>
  <c r="U299" i="5"/>
  <c r="V299" i="5"/>
  <c r="X154" i="5"/>
  <c r="V154" i="5"/>
  <c r="W154" i="5"/>
  <c r="U154" i="5"/>
  <c r="T154" i="5"/>
  <c r="V91" i="5"/>
  <c r="W91" i="5"/>
  <c r="T91" i="5"/>
  <c r="U91" i="5"/>
  <c r="W194" i="5"/>
  <c r="T194" i="5"/>
  <c r="U194" i="5"/>
  <c r="V194" i="5"/>
  <c r="U287" i="5"/>
  <c r="V287" i="5"/>
  <c r="W287" i="5"/>
  <c r="T287" i="5"/>
  <c r="T165" i="5"/>
  <c r="U165" i="5"/>
  <c r="V165" i="5"/>
  <c r="W165" i="5"/>
  <c r="W86" i="5"/>
  <c r="T86" i="5"/>
  <c r="U86" i="5"/>
  <c r="V86" i="5"/>
  <c r="U20" i="5"/>
  <c r="V20" i="5"/>
  <c r="T20" i="5"/>
  <c r="W20" i="5"/>
  <c r="T155" i="5"/>
  <c r="U155" i="5"/>
  <c r="V155" i="5"/>
  <c r="W155" i="5"/>
  <c r="W112" i="5"/>
  <c r="T112" i="5"/>
  <c r="U112" i="5"/>
  <c r="V112" i="5"/>
  <c r="W88" i="5"/>
  <c r="T88" i="5"/>
  <c r="V88" i="5"/>
  <c r="U88" i="5"/>
  <c r="W124" i="5"/>
  <c r="V124" i="5"/>
  <c r="T124" i="5"/>
  <c r="U124" i="5"/>
  <c r="W279" i="5"/>
  <c r="T279" i="5"/>
  <c r="U279" i="5"/>
  <c r="V279" i="5"/>
  <c r="W409" i="5"/>
  <c r="T409" i="5"/>
  <c r="U409" i="5"/>
  <c r="V409" i="5"/>
  <c r="W292" i="5"/>
  <c r="T292" i="5"/>
  <c r="V292" i="5"/>
  <c r="U292" i="5"/>
  <c r="X449" i="5"/>
  <c r="W449" i="5"/>
  <c r="T449" i="5"/>
  <c r="V449" i="5"/>
  <c r="U449" i="5"/>
  <c r="X319" i="5"/>
  <c r="W319" i="5"/>
  <c r="T319" i="5"/>
  <c r="V319" i="5"/>
  <c r="U319" i="5"/>
  <c r="X340" i="5"/>
  <c r="V340" i="5"/>
  <c r="W340" i="5"/>
  <c r="T340" i="5"/>
  <c r="U340" i="5"/>
  <c r="U432" i="5"/>
  <c r="V432" i="5"/>
  <c r="T432" i="5"/>
  <c r="W432" i="5"/>
  <c r="V322" i="5"/>
  <c r="T322" i="5"/>
  <c r="U322" i="5"/>
  <c r="W322" i="5"/>
  <c r="W211" i="5"/>
  <c r="T211" i="5"/>
  <c r="V211" i="5"/>
  <c r="U211" i="5"/>
  <c r="T40" i="5"/>
  <c r="W40" i="5"/>
  <c r="U40" i="5"/>
  <c r="V40" i="5"/>
  <c r="V79" i="5"/>
  <c r="W79" i="5"/>
  <c r="U79" i="5"/>
  <c r="T79" i="5"/>
  <c r="W419" i="5"/>
  <c r="T419" i="5"/>
  <c r="V419" i="5"/>
  <c r="U419" i="5"/>
  <c r="X17" i="5"/>
  <c r="U17" i="5"/>
  <c r="V17" i="5"/>
  <c r="T17" i="5"/>
  <c r="W17" i="5"/>
  <c r="X272" i="5"/>
  <c r="W272" i="5"/>
  <c r="T272" i="5"/>
  <c r="U272" i="5"/>
  <c r="V272" i="5"/>
  <c r="U248" i="5"/>
  <c r="V248" i="5"/>
  <c r="T248" i="5"/>
  <c r="W248" i="5"/>
  <c r="U369" i="5"/>
  <c r="V369" i="5"/>
  <c r="T369" i="5"/>
  <c r="W369" i="5"/>
  <c r="V420" i="5"/>
  <c r="W420" i="5"/>
  <c r="T420" i="5"/>
  <c r="U420" i="5"/>
  <c r="V377" i="5"/>
  <c r="W377" i="5"/>
  <c r="U377" i="5"/>
  <c r="T377" i="5"/>
  <c r="W393" i="5"/>
  <c r="T393" i="5"/>
  <c r="U393" i="5"/>
  <c r="V393" i="5"/>
  <c r="U270" i="5"/>
  <c r="V270" i="5"/>
  <c r="T270" i="5"/>
  <c r="W270" i="5"/>
  <c r="V44" i="5"/>
  <c r="U44" i="5"/>
  <c r="W44" i="5"/>
  <c r="T44" i="5"/>
  <c r="W395" i="5"/>
  <c r="T395" i="5"/>
  <c r="V395" i="5"/>
  <c r="U395" i="5"/>
  <c r="U335" i="5"/>
  <c r="V335" i="5"/>
  <c r="T335" i="5"/>
  <c r="W335" i="5"/>
  <c r="W151" i="5"/>
  <c r="T151" i="5"/>
  <c r="U151" i="5"/>
  <c r="V151" i="5"/>
  <c r="W148" i="5"/>
  <c r="T148" i="5"/>
  <c r="U148" i="5"/>
  <c r="V148" i="5"/>
  <c r="U116" i="5"/>
  <c r="V116" i="5"/>
  <c r="T116" i="5"/>
  <c r="W116" i="5"/>
  <c r="V399" i="5"/>
  <c r="W399" i="5"/>
  <c r="T399" i="5"/>
  <c r="U399" i="5"/>
  <c r="V434" i="5"/>
  <c r="W434" i="5"/>
  <c r="U434" i="5"/>
  <c r="T434" i="5"/>
  <c r="U433" i="5"/>
  <c r="V433" i="5"/>
  <c r="W433" i="5"/>
  <c r="T433" i="5"/>
  <c r="X391" i="5"/>
  <c r="V391" i="5"/>
  <c r="W391" i="5"/>
  <c r="U391" i="5"/>
  <c r="T391" i="5"/>
  <c r="X385" i="5"/>
  <c r="T385" i="5"/>
  <c r="U385" i="5"/>
  <c r="V385" i="5"/>
  <c r="W385" i="5"/>
  <c r="X200" i="5"/>
  <c r="W200" i="5"/>
  <c r="T200" i="5"/>
  <c r="U200" i="5"/>
  <c r="V200" i="5"/>
  <c r="T82" i="5"/>
  <c r="U82" i="5"/>
  <c r="W82" i="5"/>
  <c r="V82" i="5"/>
  <c r="T418" i="5"/>
  <c r="U418" i="5"/>
  <c r="V418" i="5"/>
  <c r="W418" i="5"/>
  <c r="W267" i="5"/>
  <c r="T267" i="5"/>
  <c r="U267" i="5"/>
  <c r="V267" i="5"/>
  <c r="V213" i="5"/>
  <c r="W213" i="5"/>
  <c r="U213" i="5"/>
  <c r="T213" i="5"/>
  <c r="T198" i="5"/>
  <c r="U198" i="5"/>
  <c r="W198" i="5"/>
  <c r="V198" i="5"/>
  <c r="T15" i="5"/>
  <c r="U15" i="5"/>
  <c r="W15" i="5"/>
  <c r="V15" i="5"/>
  <c r="W175" i="5"/>
  <c r="T175" i="5"/>
  <c r="U175" i="5"/>
  <c r="V175" i="5"/>
  <c r="U348" i="5"/>
  <c r="V348" i="5"/>
  <c r="W348" i="5"/>
  <c r="T348" i="5"/>
  <c r="W143" i="5"/>
  <c r="T143" i="5"/>
  <c r="U143" i="5"/>
  <c r="V143" i="5"/>
  <c r="U417" i="5"/>
  <c r="V417" i="5"/>
  <c r="T417" i="5"/>
  <c r="W417" i="5"/>
  <c r="W76" i="5"/>
  <c r="T76" i="5"/>
  <c r="V76" i="5"/>
  <c r="U76" i="5"/>
  <c r="W368" i="5"/>
  <c r="T368" i="5"/>
  <c r="V368" i="5"/>
  <c r="U368" i="5"/>
  <c r="V18" i="5"/>
  <c r="W18" i="5"/>
  <c r="U18" i="5"/>
  <c r="T18" i="5"/>
  <c r="U321" i="5"/>
  <c r="T321" i="5"/>
  <c r="V321" i="5"/>
  <c r="W321" i="5"/>
  <c r="T277" i="5"/>
  <c r="U277" i="5"/>
  <c r="V277" i="5"/>
  <c r="W277" i="5"/>
  <c r="U302" i="5"/>
  <c r="V302" i="5"/>
  <c r="T302" i="5"/>
  <c r="W302" i="5"/>
  <c r="T305" i="5"/>
  <c r="U305" i="5"/>
  <c r="V305" i="5"/>
  <c r="W305" i="5"/>
  <c r="T123" i="5"/>
  <c r="W123" i="5"/>
  <c r="U123" i="5"/>
  <c r="V123" i="5"/>
  <c r="T72" i="5"/>
  <c r="U72" i="5"/>
  <c r="V72" i="5"/>
  <c r="W72" i="5"/>
  <c r="W156" i="5"/>
  <c r="T156" i="5"/>
  <c r="V156" i="5"/>
  <c r="U156" i="5"/>
  <c r="X9" i="5"/>
  <c r="U9" i="5"/>
  <c r="V9" i="5"/>
  <c r="T9" i="5"/>
  <c r="W9" i="5"/>
  <c r="T99" i="5"/>
  <c r="U99" i="5"/>
  <c r="V99" i="5"/>
  <c r="W99" i="5"/>
  <c r="W286" i="5"/>
  <c r="T286" i="5"/>
  <c r="U286" i="5"/>
  <c r="V286" i="5"/>
  <c r="T243" i="5"/>
  <c r="U243" i="5"/>
  <c r="W243" i="5"/>
  <c r="V243" i="5"/>
  <c r="T14" i="5"/>
  <c r="U14" i="5"/>
  <c r="V14" i="5"/>
  <c r="W14" i="5"/>
  <c r="V293" i="5"/>
  <c r="W293" i="5"/>
  <c r="T293" i="5"/>
  <c r="U293" i="5"/>
  <c r="X32" i="5"/>
  <c r="W32" i="5"/>
  <c r="T32" i="5"/>
  <c r="U32" i="5"/>
  <c r="V32" i="5"/>
  <c r="U316" i="5"/>
  <c r="V316" i="5"/>
  <c r="W316" i="5"/>
  <c r="T316" i="5"/>
  <c r="T48" i="5"/>
  <c r="V48" i="5"/>
  <c r="W48" i="5"/>
  <c r="U48" i="5"/>
  <c r="V33" i="5"/>
  <c r="W33" i="5"/>
  <c r="T33" i="5"/>
  <c r="U33" i="5"/>
  <c r="T30" i="5"/>
  <c r="U30" i="5"/>
  <c r="W30" i="5"/>
  <c r="V30" i="5"/>
  <c r="V380" i="5"/>
  <c r="W380" i="5"/>
  <c r="U380" i="5"/>
  <c r="T380" i="5"/>
  <c r="V57" i="5"/>
  <c r="T57" i="5"/>
  <c r="U57" i="5"/>
  <c r="W57" i="5"/>
  <c r="V452" i="5"/>
  <c r="W452" i="5"/>
  <c r="U452" i="5"/>
  <c r="X47" i="5"/>
  <c r="U47" i="5"/>
  <c r="T47" i="5"/>
  <c r="V47" i="5"/>
  <c r="W47" i="5"/>
  <c r="U217" i="5"/>
  <c r="V217" i="5"/>
  <c r="T217" i="5"/>
  <c r="W217" i="5"/>
  <c r="U46" i="5"/>
  <c r="T46" i="5"/>
  <c r="V46" i="5"/>
  <c r="W46" i="5"/>
  <c r="V185" i="5"/>
  <c r="W185" i="5"/>
  <c r="U185" i="5"/>
  <c r="T185" i="5"/>
  <c r="U4" i="5"/>
  <c r="V4" i="5"/>
  <c r="W4" i="5"/>
  <c r="T4" i="5"/>
  <c r="W215" i="5"/>
  <c r="V215" i="5"/>
  <c r="U215" i="5"/>
  <c r="T215" i="5"/>
  <c r="T220" i="5"/>
  <c r="U220" i="5"/>
  <c r="V220" i="5"/>
  <c r="W220" i="5"/>
  <c r="T179" i="5"/>
  <c r="U179" i="5"/>
  <c r="V179" i="5"/>
  <c r="W179" i="5"/>
  <c r="X177" i="5"/>
  <c r="U177" i="5"/>
  <c r="V177" i="5"/>
  <c r="W177" i="5"/>
  <c r="T177" i="5"/>
  <c r="X113" i="5"/>
  <c r="W113" i="5"/>
  <c r="T113" i="5"/>
  <c r="U113" i="5"/>
  <c r="V113" i="5"/>
  <c r="U422" i="5"/>
  <c r="V422" i="5"/>
  <c r="W422" i="5"/>
  <c r="T422" i="5"/>
  <c r="T427" i="5"/>
  <c r="U427" i="5"/>
  <c r="V427" i="5"/>
  <c r="W427" i="5"/>
  <c r="V106" i="5"/>
  <c r="W106" i="5"/>
  <c r="T106" i="5"/>
  <c r="U106" i="5"/>
  <c r="U365" i="5"/>
  <c r="V365" i="5"/>
  <c r="W365" i="5"/>
  <c r="T365" i="5"/>
  <c r="V96" i="5"/>
  <c r="U96" i="5"/>
  <c r="W96" i="5"/>
  <c r="T96" i="5"/>
  <c r="V190" i="5"/>
  <c r="W190" i="5"/>
  <c r="T190" i="5"/>
  <c r="U190" i="5"/>
  <c r="V101" i="5"/>
  <c r="W101" i="5"/>
  <c r="T101" i="5"/>
  <c r="U101" i="5"/>
  <c r="X414" i="5"/>
  <c r="T414" i="5"/>
  <c r="U414" i="5"/>
  <c r="V414" i="5"/>
  <c r="W414" i="5"/>
  <c r="T308" i="5"/>
  <c r="V308" i="5"/>
  <c r="W308" i="5"/>
  <c r="U308" i="5"/>
  <c r="X251" i="5"/>
  <c r="U251" i="5"/>
  <c r="V251" i="5"/>
  <c r="T251" i="5"/>
  <c r="W251" i="5"/>
  <c r="U390" i="5"/>
  <c r="V390" i="5"/>
  <c r="T390" i="5"/>
  <c r="W390" i="5"/>
  <c r="W119" i="5"/>
  <c r="T119" i="5"/>
  <c r="V119" i="5"/>
  <c r="U119" i="5"/>
  <c r="U38" i="5"/>
  <c r="T38" i="5"/>
  <c r="V38" i="5"/>
  <c r="W38" i="5"/>
  <c r="U60" i="5"/>
  <c r="W60" i="5"/>
  <c r="T60" i="5"/>
  <c r="V60" i="5"/>
  <c r="T67" i="5"/>
  <c r="U67" i="5"/>
  <c r="V67" i="5"/>
  <c r="W67" i="5"/>
  <c r="X257" i="5"/>
  <c r="W257" i="5"/>
  <c r="T257" i="5"/>
  <c r="U257" i="5"/>
  <c r="V257" i="5"/>
  <c r="T183" i="5"/>
  <c r="U183" i="5"/>
  <c r="V183" i="5"/>
  <c r="W183" i="5"/>
  <c r="T363" i="5"/>
  <c r="U363" i="5"/>
  <c r="V363" i="5"/>
  <c r="W363" i="5"/>
  <c r="T94" i="5"/>
  <c r="W94" i="5"/>
  <c r="U94" i="5"/>
  <c r="V94" i="5"/>
  <c r="T134" i="5"/>
  <c r="U134" i="5"/>
  <c r="V134" i="5"/>
  <c r="W134" i="5"/>
  <c r="V327" i="5"/>
  <c r="T327" i="5"/>
  <c r="U327" i="5"/>
  <c r="W327" i="5"/>
  <c r="W234" i="5"/>
  <c r="T234" i="5"/>
  <c r="U234" i="5"/>
  <c r="V234" i="5"/>
  <c r="W24" i="5"/>
  <c r="T24" i="5"/>
  <c r="V24" i="5"/>
  <c r="U24" i="5"/>
  <c r="W162" i="5"/>
  <c r="T162" i="5"/>
  <c r="U162" i="5"/>
  <c r="V162" i="5"/>
  <c r="T81" i="5"/>
  <c r="U81" i="5"/>
  <c r="W81" i="5"/>
  <c r="V81" i="5"/>
  <c r="X90" i="5"/>
  <c r="T90" i="5"/>
  <c r="U90" i="5"/>
  <c r="V90" i="5"/>
  <c r="W90" i="5"/>
  <c r="X125" i="5"/>
  <c r="V125" i="5"/>
  <c r="U125" i="5"/>
  <c r="W125" i="5"/>
  <c r="T125" i="5"/>
  <c r="T282" i="5"/>
  <c r="U282" i="5"/>
  <c r="V282" i="5"/>
  <c r="W282" i="5"/>
  <c r="T411" i="5"/>
  <c r="U411" i="5"/>
  <c r="V411" i="5"/>
  <c r="W411" i="5"/>
  <c r="W294" i="5"/>
  <c r="T294" i="5"/>
  <c r="U294" i="5"/>
  <c r="V294" i="5"/>
  <c r="X325" i="5"/>
  <c r="W325" i="5"/>
  <c r="T325" i="5"/>
  <c r="U325" i="5"/>
  <c r="V325" i="5"/>
  <c r="X447" i="5"/>
  <c r="U447" i="5"/>
  <c r="V447" i="5"/>
  <c r="T447" i="5"/>
  <c r="W447" i="5"/>
  <c r="X98" i="5"/>
  <c r="W98" i="5"/>
  <c r="T98" i="5"/>
  <c r="V98" i="5"/>
  <c r="U98" i="5"/>
  <c r="T273" i="5"/>
  <c r="U273" i="5"/>
  <c r="W273" i="5"/>
  <c r="V273" i="5"/>
  <c r="T68" i="5"/>
  <c r="U68" i="5"/>
  <c r="W68" i="5"/>
  <c r="V68" i="5"/>
  <c r="U55" i="5"/>
  <c r="T55" i="5"/>
  <c r="V55" i="5"/>
  <c r="W55" i="5"/>
  <c r="X242" i="5"/>
  <c r="V242" i="5"/>
  <c r="W242" i="5"/>
  <c r="T242" i="5"/>
  <c r="U242" i="5"/>
  <c r="X209" i="5"/>
  <c r="W209" i="5"/>
  <c r="T209" i="5"/>
  <c r="U209" i="5"/>
  <c r="V209" i="5"/>
  <c r="X108" i="5"/>
  <c r="V108" i="5"/>
  <c r="W108" i="5"/>
  <c r="T108" i="5"/>
  <c r="U108" i="5"/>
  <c r="V337" i="5"/>
  <c r="W337" i="5"/>
  <c r="U337" i="5"/>
  <c r="T337" i="5"/>
  <c r="T263" i="5"/>
  <c r="U263" i="5"/>
  <c r="V263" i="5"/>
  <c r="W263" i="5"/>
  <c r="U231" i="5"/>
  <c r="V231" i="5"/>
  <c r="W231" i="5"/>
  <c r="T231" i="5"/>
  <c r="X392" i="5"/>
  <c r="U392" i="5"/>
  <c r="V392" i="5"/>
  <c r="T392" i="5"/>
  <c r="W392" i="5"/>
  <c r="X85" i="5"/>
  <c r="U85" i="5"/>
  <c r="V85" i="5"/>
  <c r="T85" i="5"/>
  <c r="W85" i="5"/>
  <c r="W372" i="5"/>
  <c r="T372" i="5"/>
  <c r="U372" i="5"/>
  <c r="V372" i="5"/>
  <c r="T404" i="5"/>
  <c r="U404" i="5"/>
  <c r="V404" i="5"/>
  <c r="W404" i="5"/>
  <c r="X77" i="5"/>
  <c r="W77" i="5"/>
  <c r="T77" i="5"/>
  <c r="U77" i="5"/>
  <c r="V77" i="5"/>
  <c r="U250" i="5"/>
  <c r="V250" i="5"/>
  <c r="W250" i="5"/>
  <c r="T250" i="5"/>
  <c r="U406" i="5"/>
  <c r="V406" i="5"/>
  <c r="W406" i="5"/>
  <c r="T406" i="5"/>
  <c r="T181" i="5"/>
  <c r="U181" i="5"/>
  <c r="V181" i="5"/>
  <c r="W181" i="5"/>
  <c r="V117" i="5"/>
  <c r="W117" i="5"/>
  <c r="U117" i="5"/>
  <c r="T117" i="5"/>
  <c r="X431" i="5"/>
  <c r="T431" i="5"/>
  <c r="U431" i="5"/>
  <c r="V431" i="5"/>
  <c r="W431" i="5"/>
  <c r="W378" i="5"/>
  <c r="T378" i="5"/>
  <c r="U378" i="5"/>
  <c r="V378" i="5"/>
  <c r="V141" i="5"/>
  <c r="W141" i="5"/>
  <c r="U141" i="5"/>
  <c r="T141" i="5"/>
  <c r="X83" i="5"/>
  <c r="V83" i="5"/>
  <c r="W83" i="5"/>
  <c r="U83" i="5"/>
  <c r="T83" i="5"/>
  <c r="V333" i="5"/>
  <c r="W333" i="5"/>
  <c r="U333" i="5"/>
  <c r="T333" i="5"/>
  <c r="T430" i="5"/>
  <c r="U430" i="5"/>
  <c r="V430" i="5"/>
  <c r="W430" i="5"/>
  <c r="X313" i="5"/>
  <c r="W313" i="5"/>
  <c r="T313" i="5"/>
  <c r="V313" i="5"/>
  <c r="U313" i="5"/>
  <c r="V27" i="5"/>
  <c r="W27" i="5"/>
  <c r="T27" i="5"/>
  <c r="U27" i="5"/>
  <c r="X261" i="5"/>
  <c r="U261" i="5"/>
  <c r="T261" i="5"/>
  <c r="V261" i="5"/>
  <c r="W261" i="5"/>
  <c r="U382" i="5"/>
  <c r="V382" i="5"/>
  <c r="W382" i="5"/>
  <c r="T382" i="5"/>
  <c r="T22" i="5"/>
  <c r="U22" i="5"/>
  <c r="W22" i="5"/>
  <c r="V22" i="5"/>
  <c r="W201" i="5"/>
  <c r="T201" i="5"/>
  <c r="V201" i="5"/>
  <c r="U201" i="5"/>
  <c r="X252" i="5"/>
  <c r="U252" i="5"/>
  <c r="V252" i="5"/>
  <c r="W252" i="5"/>
  <c r="T252" i="5"/>
  <c r="X375" i="5"/>
  <c r="V375" i="5"/>
  <c r="W375" i="5"/>
  <c r="T375" i="5"/>
  <c r="U375" i="5"/>
  <c r="U159" i="5"/>
  <c r="V159" i="5"/>
  <c r="T159" i="5"/>
  <c r="W159" i="5"/>
  <c r="V429" i="5"/>
  <c r="W429" i="5"/>
  <c r="U429" i="5"/>
  <c r="T429" i="5"/>
  <c r="T45" i="5"/>
  <c r="V45" i="5"/>
  <c r="W45" i="5"/>
  <c r="U45" i="5"/>
  <c r="V448" i="5"/>
  <c r="T448" i="5"/>
  <c r="U448" i="5"/>
  <c r="W448" i="5"/>
  <c r="U331" i="5"/>
  <c r="V331" i="5"/>
  <c r="W331" i="5"/>
  <c r="T331" i="5"/>
  <c r="W136" i="5"/>
  <c r="T136" i="5"/>
  <c r="V136" i="5"/>
  <c r="U136" i="5"/>
  <c r="W149" i="5"/>
  <c r="T149" i="5"/>
  <c r="U149" i="5"/>
  <c r="V149" i="5"/>
  <c r="U160" i="5"/>
  <c r="V160" i="5"/>
  <c r="T160" i="5"/>
  <c r="W160" i="5"/>
  <c r="U246" i="5"/>
  <c r="V246" i="5"/>
  <c r="T246" i="5"/>
  <c r="W246" i="5"/>
  <c r="X26" i="5"/>
  <c r="V26" i="5"/>
  <c r="W26" i="5"/>
  <c r="U26" i="5"/>
  <c r="T26" i="5"/>
  <c r="T295" i="5"/>
  <c r="U295" i="5"/>
  <c r="V295" i="5"/>
  <c r="W295" i="5"/>
  <c r="V283" i="5"/>
  <c r="W283" i="5"/>
  <c r="U283" i="5"/>
  <c r="T283" i="5"/>
  <c r="T349" i="5"/>
  <c r="U349" i="5"/>
  <c r="V349" i="5"/>
  <c r="W349" i="5"/>
  <c r="X416" i="5"/>
  <c r="T416" i="5"/>
  <c r="U416" i="5"/>
  <c r="V416" i="5"/>
  <c r="W416" i="5"/>
  <c r="V131" i="5"/>
  <c r="W131" i="5"/>
  <c r="U131" i="5"/>
  <c r="T131" i="5"/>
  <c r="T275" i="5"/>
  <c r="U275" i="5"/>
  <c r="V275" i="5"/>
  <c r="W275" i="5"/>
  <c r="W16" i="5"/>
  <c r="T16" i="5"/>
  <c r="U16" i="5"/>
  <c r="V16" i="5"/>
  <c r="W89" i="5"/>
  <c r="T89" i="5"/>
  <c r="U89" i="5"/>
  <c r="V89" i="5"/>
  <c r="W344" i="5"/>
  <c r="T344" i="5"/>
  <c r="V344" i="5"/>
  <c r="U344" i="5"/>
  <c r="X97" i="5"/>
  <c r="T97" i="5"/>
  <c r="U97" i="5"/>
  <c r="V97" i="5"/>
  <c r="W97" i="5"/>
  <c r="V410" i="5"/>
  <c r="W410" i="5"/>
  <c r="U410" i="5"/>
  <c r="T410" i="5"/>
  <c r="X454" i="5"/>
  <c r="V454" i="5"/>
  <c r="W454" i="5"/>
  <c r="U454" i="5"/>
  <c r="T454" i="5"/>
  <c r="X443" i="5"/>
  <c r="T443" i="5"/>
  <c r="U443" i="5"/>
  <c r="W443" i="5"/>
  <c r="V443" i="5"/>
  <c r="U223" i="5"/>
  <c r="V223" i="5"/>
  <c r="T223" i="5"/>
  <c r="W223" i="5"/>
  <c r="W446" i="5"/>
  <c r="T446" i="5"/>
  <c r="U446" i="5"/>
  <c r="V446" i="5"/>
  <c r="V49" i="5"/>
  <c r="T49" i="5"/>
  <c r="U49" i="5"/>
  <c r="W49" i="5"/>
  <c r="U39" i="5"/>
  <c r="V39" i="5"/>
  <c r="W39" i="5"/>
  <c r="T39" i="5"/>
  <c r="T266" i="5"/>
  <c r="U266" i="5"/>
  <c r="V266" i="5"/>
  <c r="W266" i="5"/>
  <c r="W50" i="5"/>
  <c r="T50" i="5"/>
  <c r="U50" i="5"/>
  <c r="V50" i="5"/>
  <c r="V450" i="5"/>
  <c r="W450" i="5"/>
  <c r="T450" i="5"/>
  <c r="U450" i="5"/>
  <c r="T167" i="5"/>
  <c r="U167" i="5"/>
  <c r="W167" i="5"/>
  <c r="V167" i="5"/>
  <c r="T289" i="5"/>
  <c r="U289" i="5"/>
  <c r="W289" i="5"/>
  <c r="V289" i="5"/>
  <c r="V264" i="5"/>
  <c r="W264" i="5"/>
  <c r="T264" i="5"/>
  <c r="U264" i="5"/>
  <c r="V41" i="5"/>
  <c r="U41" i="5"/>
  <c r="W41" i="5"/>
  <c r="T41" i="5"/>
  <c r="U226" i="5"/>
  <c r="V226" i="5"/>
  <c r="W226" i="5"/>
  <c r="T226" i="5"/>
  <c r="V172" i="5"/>
  <c r="W172" i="5"/>
  <c r="T172" i="5"/>
  <c r="U172" i="5"/>
  <c r="V346" i="5"/>
  <c r="W346" i="5"/>
  <c r="U346" i="5"/>
  <c r="T346" i="5"/>
  <c r="T424" i="5"/>
  <c r="U424" i="5"/>
  <c r="V424" i="5"/>
  <c r="W424" i="5"/>
  <c r="V71" i="5"/>
  <c r="W71" i="5"/>
  <c r="T71" i="5"/>
  <c r="U71" i="5"/>
  <c r="T216" i="5"/>
  <c r="V216" i="5"/>
  <c r="W216" i="5"/>
  <c r="U216" i="5"/>
  <c r="V221" i="5"/>
  <c r="W221" i="5"/>
  <c r="T221" i="5"/>
  <c r="U221" i="5"/>
  <c r="U180" i="5"/>
  <c r="V180" i="5"/>
  <c r="W180" i="5"/>
  <c r="T180" i="5"/>
  <c r="X178" i="5"/>
  <c r="U178" i="5"/>
  <c r="V178" i="5"/>
  <c r="T178" i="5"/>
  <c r="W178" i="5"/>
  <c r="X343" i="5"/>
  <c r="W343" i="5"/>
  <c r="T343" i="5"/>
  <c r="V343" i="5"/>
  <c r="U343" i="5"/>
  <c r="V423" i="5"/>
  <c r="W423" i="5"/>
  <c r="U423" i="5"/>
  <c r="T423" i="5"/>
  <c r="V103" i="5"/>
  <c r="W103" i="5"/>
  <c r="T103" i="5"/>
  <c r="U103" i="5"/>
  <c r="T145" i="5"/>
  <c r="U145" i="5"/>
  <c r="W145" i="5"/>
  <c r="V145" i="5"/>
  <c r="W93" i="5"/>
  <c r="T93" i="5"/>
  <c r="U93" i="5"/>
  <c r="V93" i="5"/>
  <c r="V192" i="5"/>
  <c r="W192" i="5"/>
  <c r="T192" i="5"/>
  <c r="U192" i="5"/>
  <c r="T300" i="5"/>
  <c r="U300" i="5"/>
  <c r="W300" i="5"/>
  <c r="V300" i="5"/>
  <c r="V135" i="5"/>
  <c r="W135" i="5"/>
  <c r="T135" i="5"/>
  <c r="U135" i="5"/>
  <c r="X415" i="5"/>
  <c r="W415" i="5"/>
  <c r="T415" i="5"/>
  <c r="U415" i="5"/>
  <c r="V415" i="5"/>
  <c r="W451" i="5"/>
  <c r="U451" i="5"/>
  <c r="V451" i="5"/>
  <c r="T451" i="5"/>
  <c r="X212" i="5"/>
  <c r="T212" i="5"/>
  <c r="U212" i="5"/>
  <c r="V212" i="5"/>
  <c r="W212" i="5"/>
  <c r="T370" i="5"/>
  <c r="U370" i="5"/>
  <c r="V370" i="5"/>
  <c r="W370" i="5"/>
  <c r="U199" i="5"/>
  <c r="V199" i="5"/>
  <c r="T199" i="5"/>
  <c r="W199" i="5"/>
  <c r="T6" i="5"/>
  <c r="U6" i="5"/>
  <c r="V6" i="5"/>
  <c r="W6" i="5"/>
  <c r="W43" i="5"/>
  <c r="U43" i="5"/>
  <c r="V43" i="5"/>
  <c r="T43" i="5"/>
  <c r="T62" i="5"/>
  <c r="V62" i="5"/>
  <c r="W62" i="5"/>
  <c r="U62" i="5"/>
  <c r="W171" i="5"/>
  <c r="T171" i="5"/>
  <c r="U171" i="5"/>
  <c r="V171" i="5"/>
  <c r="T224" i="5"/>
  <c r="U224" i="5"/>
  <c r="V224" i="5"/>
  <c r="W224" i="5"/>
  <c r="T169" i="5"/>
  <c r="U169" i="5"/>
  <c r="W169" i="5"/>
  <c r="V169" i="5"/>
  <c r="T163" i="5"/>
  <c r="U163" i="5"/>
  <c r="W163" i="5"/>
  <c r="V163" i="5"/>
  <c r="V318" i="5"/>
  <c r="W318" i="5"/>
  <c r="T318" i="5"/>
  <c r="U318" i="5"/>
  <c r="V303" i="5"/>
  <c r="W303" i="5"/>
  <c r="U303" i="5"/>
  <c r="T303" i="5"/>
  <c r="X114" i="5"/>
  <c r="U114" i="5"/>
  <c r="V114" i="5"/>
  <c r="T114" i="5"/>
  <c r="W114" i="5"/>
  <c r="X271" i="5"/>
  <c r="V271" i="5"/>
  <c r="W271" i="5"/>
  <c r="U271" i="5"/>
  <c r="T271" i="5"/>
  <c r="V111" i="5"/>
  <c r="W111" i="5"/>
  <c r="U111" i="5"/>
  <c r="T111" i="5"/>
  <c r="V364" i="5"/>
  <c r="W364" i="5"/>
  <c r="T364" i="5"/>
  <c r="U364" i="5"/>
  <c r="U120" i="5"/>
  <c r="V120" i="5"/>
  <c r="T120" i="5"/>
  <c r="W120" i="5"/>
  <c r="V92" i="5"/>
  <c r="W92" i="5"/>
  <c r="T92" i="5"/>
  <c r="U92" i="5"/>
  <c r="V133" i="5"/>
  <c r="W133" i="5"/>
  <c r="T133" i="5"/>
  <c r="U133" i="5"/>
  <c r="X285" i="5"/>
  <c r="U285" i="5"/>
  <c r="V285" i="5"/>
  <c r="T285" i="5"/>
  <c r="W285" i="5"/>
  <c r="T413" i="5"/>
  <c r="U413" i="5"/>
  <c r="V413" i="5"/>
  <c r="W413" i="5"/>
  <c r="U324" i="5"/>
  <c r="V324" i="5"/>
  <c r="W324" i="5"/>
  <c r="T324" i="5"/>
  <c r="X314" i="5"/>
  <c r="T314" i="5"/>
  <c r="U314" i="5"/>
  <c r="V314" i="5"/>
  <c r="W314" i="5"/>
  <c r="X444" i="5"/>
  <c r="U444" i="5"/>
  <c r="V444" i="5"/>
  <c r="T444" i="5"/>
  <c r="W444" i="5"/>
  <c r="T100" i="5"/>
  <c r="U100" i="5"/>
  <c r="V100" i="5"/>
  <c r="W100" i="5"/>
  <c r="U229" i="5"/>
  <c r="V229" i="5"/>
  <c r="T229" i="5"/>
  <c r="W229" i="5"/>
  <c r="V63" i="5"/>
  <c r="W63" i="5"/>
  <c r="T63" i="5"/>
  <c r="U63" i="5"/>
  <c r="X379" i="5"/>
  <c r="W379" i="5"/>
  <c r="T379" i="5"/>
  <c r="U379" i="5"/>
  <c r="V379" i="5"/>
  <c r="X262" i="5"/>
  <c r="U262" i="5"/>
  <c r="V262" i="5"/>
  <c r="W262" i="5"/>
  <c r="T262" i="5"/>
  <c r="U28" i="5"/>
  <c r="V28" i="5"/>
  <c r="W28" i="5"/>
  <c r="T28" i="5"/>
  <c r="X166" i="5"/>
  <c r="T166" i="5"/>
  <c r="U166" i="5"/>
  <c r="V166" i="5"/>
  <c r="W166" i="5"/>
  <c r="X235" i="5"/>
  <c r="V235" i="5"/>
  <c r="W235" i="5"/>
  <c r="T235" i="5"/>
  <c r="U235" i="5"/>
  <c r="W398" i="5"/>
  <c r="T398" i="5"/>
  <c r="U398" i="5"/>
  <c r="V398" i="5"/>
  <c r="U297" i="5"/>
  <c r="V297" i="5"/>
  <c r="T297" i="5"/>
  <c r="W297" i="5"/>
  <c r="V161" i="5"/>
  <c r="W161" i="5"/>
  <c r="U161" i="5"/>
  <c r="T161" i="5"/>
  <c r="V84" i="5"/>
  <c r="W84" i="5"/>
  <c r="U84" i="5"/>
  <c r="T84" i="5"/>
  <c r="W168" i="5"/>
  <c r="T168" i="5"/>
  <c r="U168" i="5"/>
  <c r="V168" i="5"/>
  <c r="X240" i="5"/>
  <c r="U240" i="5"/>
  <c r="V240" i="5"/>
  <c r="W240" i="5"/>
  <c r="T240" i="5"/>
  <c r="V421" i="5"/>
  <c r="W421" i="5"/>
  <c r="T421" i="5"/>
  <c r="U421" i="5"/>
  <c r="X196" i="5"/>
  <c r="T196" i="5"/>
  <c r="U196" i="5"/>
  <c r="V196" i="5"/>
  <c r="W196" i="5"/>
  <c r="W150" i="5"/>
  <c r="T150" i="5"/>
  <c r="U150" i="5"/>
  <c r="V150" i="5"/>
  <c r="X78" i="5"/>
  <c r="W78" i="5"/>
  <c r="T78" i="5"/>
  <c r="U78" i="5"/>
  <c r="V78" i="5"/>
  <c r="U138" i="5"/>
  <c r="V138" i="5"/>
  <c r="T138" i="5"/>
  <c r="W138" i="5"/>
  <c r="X31" i="5"/>
  <c r="T31" i="5"/>
  <c r="U31" i="5"/>
  <c r="V31" i="5"/>
  <c r="W31" i="5"/>
  <c r="U353" i="5"/>
  <c r="V353" i="5"/>
  <c r="T353" i="5"/>
  <c r="W353" i="5"/>
  <c r="U384" i="5"/>
  <c r="V384" i="5"/>
  <c r="T384" i="5"/>
  <c r="W384" i="5"/>
  <c r="X260" i="5"/>
  <c r="V260" i="5"/>
  <c r="W260" i="5"/>
  <c r="U260" i="5"/>
  <c r="T260" i="5"/>
  <c r="T381" i="5"/>
  <c r="U381" i="5"/>
  <c r="V381" i="5"/>
  <c r="W381" i="5"/>
  <c r="U228" i="5"/>
  <c r="V228" i="5"/>
  <c r="T228" i="5"/>
  <c r="W228" i="5"/>
  <c r="X202" i="5"/>
  <c r="T202" i="5"/>
  <c r="U202" i="5"/>
  <c r="V202" i="5"/>
  <c r="W202" i="5"/>
  <c r="X142" i="5"/>
  <c r="W142" i="5"/>
  <c r="T142" i="5"/>
  <c r="U142" i="5"/>
  <c r="V142" i="5"/>
  <c r="X456" i="5"/>
  <c r="T456" i="5"/>
  <c r="U456" i="5"/>
  <c r="W456" i="5"/>
  <c r="V456" i="5"/>
  <c r="W238" i="5"/>
  <c r="T238" i="5"/>
  <c r="U238" i="5"/>
  <c r="V238" i="5"/>
  <c r="X241" i="5"/>
  <c r="W241" i="5"/>
  <c r="T241" i="5"/>
  <c r="U241" i="5"/>
  <c r="V241" i="5"/>
  <c r="X230" i="5"/>
  <c r="V230" i="5"/>
  <c r="W230" i="5"/>
  <c r="U230" i="5"/>
  <c r="T230" i="5"/>
  <c r="V139" i="5"/>
  <c r="W139" i="5"/>
  <c r="U139" i="5"/>
  <c r="T139" i="5"/>
  <c r="X239" i="5"/>
  <c r="W239" i="5"/>
  <c r="T239" i="5"/>
  <c r="U239" i="5"/>
  <c r="V239" i="5"/>
  <c r="W389" i="5"/>
  <c r="T389" i="5"/>
  <c r="U389" i="5"/>
  <c r="V389" i="5"/>
  <c r="W29" i="5"/>
  <c r="T29" i="5"/>
  <c r="U29" i="5"/>
  <c r="V29" i="5"/>
  <c r="W386" i="5"/>
  <c r="T386" i="5"/>
  <c r="U386" i="5"/>
  <c r="V386" i="5"/>
  <c r="T403" i="5"/>
  <c r="U403" i="5"/>
  <c r="V403" i="5"/>
  <c r="W403" i="5"/>
  <c r="X310" i="5"/>
  <c r="V310" i="5"/>
  <c r="W310" i="5"/>
  <c r="U310" i="5"/>
  <c r="T310" i="5"/>
  <c r="T445" i="5"/>
  <c r="U445" i="5"/>
  <c r="V445" i="5"/>
  <c r="W445" i="5"/>
  <c r="U428" i="5"/>
  <c r="V428" i="5"/>
  <c r="T428" i="5"/>
  <c r="W428" i="5"/>
  <c r="T118" i="5"/>
  <c r="U118" i="5"/>
  <c r="V118" i="5"/>
  <c r="W118" i="5"/>
  <c r="X396" i="5"/>
  <c r="W396" i="5"/>
  <c r="T396" i="5"/>
  <c r="U396" i="5"/>
  <c r="V396" i="5"/>
  <c r="W34" i="5"/>
  <c r="U34" i="5"/>
  <c r="V34" i="5"/>
  <c r="T34" i="5"/>
  <c r="U383" i="5"/>
  <c r="V383" i="5"/>
  <c r="W383" i="5"/>
  <c r="T383" i="5"/>
  <c r="T70" i="5"/>
  <c r="U70" i="5"/>
  <c r="V70" i="5"/>
  <c r="W70" i="5"/>
  <c r="T23" i="5"/>
  <c r="U23" i="5"/>
  <c r="V23" i="5"/>
  <c r="W23" i="5"/>
  <c r="V373" i="5"/>
  <c r="W373" i="5"/>
  <c r="T373" i="5"/>
  <c r="U373" i="5"/>
  <c r="V129" i="5"/>
  <c r="W129" i="5"/>
  <c r="U129" i="5"/>
  <c r="T129" i="5"/>
  <c r="X320" i="5"/>
  <c r="V320" i="5"/>
  <c r="T320" i="5"/>
  <c r="U320" i="5"/>
  <c r="W320" i="5"/>
  <c r="W5" i="5"/>
  <c r="T5" i="5"/>
  <c r="U5" i="5"/>
  <c r="V5" i="5"/>
  <c r="W699" i="5"/>
  <c r="X699" i="5"/>
  <c r="W703" i="5"/>
  <c r="X703" i="5"/>
  <c r="W707" i="5"/>
  <c r="X707" i="5"/>
  <c r="V711" i="5"/>
  <c r="X711" i="5"/>
  <c r="W715" i="5"/>
  <c r="X715" i="5"/>
  <c r="V727" i="5"/>
  <c r="X727" i="5"/>
  <c r="V731" i="5"/>
  <c r="X731" i="5"/>
  <c r="V735" i="5"/>
  <c r="X735" i="5"/>
  <c r="V739" i="5"/>
  <c r="X739" i="5"/>
  <c r="V743" i="5"/>
  <c r="X743" i="5"/>
  <c r="V751" i="5"/>
  <c r="X751" i="5"/>
  <c r="V755" i="5"/>
  <c r="X755" i="5"/>
  <c r="V763" i="5"/>
  <c r="X763" i="5"/>
  <c r="U767" i="5"/>
  <c r="X767" i="5"/>
  <c r="T775" i="5"/>
  <c r="X775" i="5"/>
  <c r="V779" i="5"/>
  <c r="X779" i="5"/>
  <c r="V787" i="5"/>
  <c r="X787" i="5"/>
  <c r="W791" i="5"/>
  <c r="X791" i="5"/>
  <c r="V795" i="5"/>
  <c r="X795" i="5"/>
  <c r="V799" i="5"/>
  <c r="X799" i="5"/>
  <c r="V807" i="5"/>
  <c r="X807" i="5"/>
  <c r="V811" i="5"/>
  <c r="X811" i="5"/>
  <c r="V827" i="5"/>
  <c r="X827" i="5"/>
  <c r="W831" i="5"/>
  <c r="X831" i="5"/>
  <c r="V835" i="5"/>
  <c r="X835" i="5"/>
  <c r="T843" i="5"/>
  <c r="X843" i="5"/>
  <c r="T851" i="5"/>
  <c r="X851" i="5"/>
  <c r="V855" i="5"/>
  <c r="X855" i="5"/>
  <c r="V863" i="5"/>
  <c r="X863" i="5"/>
  <c r="U867" i="5"/>
  <c r="X867" i="5"/>
  <c r="T871" i="5"/>
  <c r="X871" i="5"/>
  <c r="V875" i="5"/>
  <c r="X875" i="5"/>
  <c r="T879" i="5"/>
  <c r="X879" i="5"/>
  <c r="T883" i="5"/>
  <c r="X883" i="5"/>
  <c r="V891" i="5"/>
  <c r="X891" i="5"/>
  <c r="T895" i="5"/>
  <c r="X895" i="5"/>
  <c r="U899" i="5"/>
  <c r="X899" i="5"/>
  <c r="W903" i="5"/>
  <c r="X903" i="5"/>
  <c r="U907" i="5"/>
  <c r="X907" i="5"/>
  <c r="T911" i="5"/>
  <c r="X911" i="5"/>
  <c r="T915" i="5"/>
  <c r="X915" i="5"/>
  <c r="T931" i="5"/>
  <c r="X931" i="5"/>
  <c r="U935" i="5"/>
  <c r="X935" i="5"/>
  <c r="U939" i="5"/>
  <c r="X939" i="5"/>
  <c r="T947" i="5"/>
  <c r="X947" i="5"/>
  <c r="U951" i="5"/>
  <c r="X951" i="5"/>
  <c r="W955" i="5"/>
  <c r="X955" i="5"/>
  <c r="W959" i="5"/>
  <c r="X959" i="5"/>
  <c r="U963" i="5"/>
  <c r="X963" i="5"/>
  <c r="W967" i="5"/>
  <c r="X967" i="5"/>
  <c r="V971" i="5"/>
  <c r="X971" i="5"/>
  <c r="W975" i="5"/>
  <c r="X975" i="5"/>
  <c r="T979" i="5"/>
  <c r="X979" i="5"/>
  <c r="T983" i="5"/>
  <c r="X983" i="5"/>
  <c r="T987" i="5"/>
  <c r="X987" i="5"/>
  <c r="T991" i="5"/>
  <c r="X991" i="5"/>
  <c r="T995" i="5"/>
  <c r="X995" i="5"/>
  <c r="T1003" i="5"/>
  <c r="X1003" i="5"/>
  <c r="T1011" i="5"/>
  <c r="X1011" i="5"/>
  <c r="T1015" i="5"/>
  <c r="X1015" i="5"/>
  <c r="T1019" i="5"/>
  <c r="X1019" i="5"/>
  <c r="T1023" i="5"/>
  <c r="X1023" i="5"/>
  <c r="T1027" i="5"/>
  <c r="X1027" i="5"/>
  <c r="V1035" i="5"/>
  <c r="X1035" i="5"/>
  <c r="T1039" i="5"/>
  <c r="X1039" i="5"/>
  <c r="T1043" i="5"/>
  <c r="X1043" i="5"/>
  <c r="T1047" i="5"/>
  <c r="X1047" i="5"/>
  <c r="T1051" i="5"/>
  <c r="X1051" i="5"/>
  <c r="U700" i="5"/>
  <c r="X700" i="5"/>
  <c r="U712" i="5"/>
  <c r="X712" i="5"/>
  <c r="U716" i="5"/>
  <c r="X716" i="5"/>
  <c r="U728" i="5"/>
  <c r="X728" i="5"/>
  <c r="U732" i="5"/>
  <c r="X732" i="5"/>
  <c r="T736" i="5"/>
  <c r="X736" i="5"/>
  <c r="T740" i="5"/>
  <c r="X740" i="5"/>
  <c r="W744" i="5"/>
  <c r="X744" i="5"/>
  <c r="W748" i="5"/>
  <c r="X748" i="5"/>
  <c r="T752" i="5"/>
  <c r="X752" i="5"/>
  <c r="W756" i="5"/>
  <c r="X756" i="5"/>
  <c r="W760" i="5"/>
  <c r="X760" i="5"/>
  <c r="W764" i="5"/>
  <c r="X764" i="5"/>
  <c r="U768" i="5"/>
  <c r="X768" i="5"/>
  <c r="T772" i="5"/>
  <c r="X772" i="5"/>
  <c r="U776" i="5"/>
  <c r="X776" i="5"/>
  <c r="U780" i="5"/>
  <c r="X780" i="5"/>
  <c r="U788" i="5"/>
  <c r="X788" i="5"/>
  <c r="T792" i="5"/>
  <c r="X792" i="5"/>
  <c r="T796" i="5"/>
  <c r="X796" i="5"/>
  <c r="U800" i="5"/>
  <c r="X800" i="5"/>
  <c r="W804" i="5"/>
  <c r="X804" i="5"/>
  <c r="T812" i="5"/>
  <c r="X812" i="5"/>
  <c r="V820" i="5"/>
  <c r="X820" i="5"/>
  <c r="V824" i="5"/>
  <c r="X824" i="5"/>
  <c r="W828" i="5"/>
  <c r="X828" i="5"/>
  <c r="T836" i="5"/>
  <c r="X836" i="5"/>
  <c r="W840" i="5"/>
  <c r="X840" i="5"/>
  <c r="V844" i="5"/>
  <c r="X844" i="5"/>
  <c r="V848" i="5"/>
  <c r="X848" i="5"/>
  <c r="V852" i="5"/>
  <c r="X852" i="5"/>
  <c r="V856" i="5"/>
  <c r="X856" i="5"/>
  <c r="V864" i="5"/>
  <c r="X864" i="5"/>
  <c r="T868" i="5"/>
  <c r="X868" i="5"/>
  <c r="V872" i="5"/>
  <c r="X872" i="5"/>
  <c r="T876" i="5"/>
  <c r="X876" i="5"/>
  <c r="W880" i="5"/>
  <c r="X880" i="5"/>
  <c r="V888" i="5"/>
  <c r="X888" i="5"/>
  <c r="U892" i="5"/>
  <c r="X892" i="5"/>
  <c r="U900" i="5"/>
  <c r="X900" i="5"/>
  <c r="V904" i="5"/>
  <c r="X904" i="5"/>
  <c r="U908" i="5"/>
  <c r="X908" i="5"/>
  <c r="V912" i="5"/>
  <c r="X912" i="5"/>
  <c r="V920" i="5"/>
  <c r="X920" i="5"/>
  <c r="V924" i="5"/>
  <c r="X924" i="5"/>
  <c r="W928" i="5"/>
  <c r="X928" i="5"/>
  <c r="V932" i="5"/>
  <c r="X932" i="5"/>
  <c r="V936" i="5"/>
  <c r="X936" i="5"/>
  <c r="V944" i="5"/>
  <c r="X944" i="5"/>
  <c r="V948" i="5"/>
  <c r="X948" i="5"/>
  <c r="V952" i="5"/>
  <c r="X952" i="5"/>
  <c r="W956" i="5"/>
  <c r="X956" i="5"/>
  <c r="U960" i="5"/>
  <c r="X960" i="5"/>
  <c r="U968" i="5"/>
  <c r="X968" i="5"/>
  <c r="W972" i="5"/>
  <c r="X972" i="5"/>
  <c r="V976" i="5"/>
  <c r="X976" i="5"/>
  <c r="T980" i="5"/>
  <c r="X980" i="5"/>
  <c r="V984" i="5"/>
  <c r="X984" i="5"/>
  <c r="V988" i="5"/>
  <c r="X988" i="5"/>
  <c r="W992" i="5"/>
  <c r="X992" i="5"/>
  <c r="W996" i="5"/>
  <c r="X996" i="5"/>
  <c r="W1004" i="5"/>
  <c r="X1004" i="5"/>
  <c r="W1008" i="5"/>
  <c r="X1008" i="5"/>
  <c r="W1012" i="5"/>
  <c r="X1012" i="5"/>
  <c r="W1016" i="5"/>
  <c r="X1016" i="5"/>
  <c r="W1020" i="5"/>
  <c r="X1020" i="5"/>
  <c r="W1032" i="5"/>
  <c r="X1032" i="5"/>
  <c r="W1036" i="5"/>
  <c r="X1036" i="5"/>
  <c r="W1040" i="5"/>
  <c r="X1040" i="5"/>
  <c r="W1044" i="5"/>
  <c r="X1044" i="5"/>
  <c r="W1048" i="5"/>
  <c r="X1048" i="5"/>
  <c r="W1052" i="5"/>
  <c r="X1052" i="5"/>
  <c r="W701" i="5"/>
  <c r="X701" i="5"/>
  <c r="W705" i="5"/>
  <c r="X705" i="5"/>
  <c r="V709" i="5"/>
  <c r="X709" i="5"/>
  <c r="V713" i="5"/>
  <c r="X713" i="5"/>
  <c r="W717" i="5"/>
  <c r="X717" i="5"/>
  <c r="W721" i="5"/>
  <c r="X721" i="5"/>
  <c r="W725" i="5"/>
  <c r="X725" i="5"/>
  <c r="W729" i="5"/>
  <c r="X729" i="5"/>
  <c r="V733" i="5"/>
  <c r="X733" i="5"/>
  <c r="V737" i="5"/>
  <c r="X737" i="5"/>
  <c r="V741" i="5"/>
  <c r="X741" i="5"/>
  <c r="V745" i="5"/>
  <c r="X745" i="5"/>
  <c r="V749" i="5"/>
  <c r="X749" i="5"/>
  <c r="V753" i="5"/>
  <c r="X753" i="5"/>
  <c r="V757" i="5"/>
  <c r="X757" i="5"/>
  <c r="V761" i="5"/>
  <c r="X761" i="5"/>
  <c r="W765" i="5"/>
  <c r="X765" i="5"/>
  <c r="W769" i="5"/>
  <c r="X769" i="5"/>
  <c r="V773" i="5"/>
  <c r="X773" i="5"/>
  <c r="V777" i="5"/>
  <c r="X777" i="5"/>
  <c r="W781" i="5"/>
  <c r="X781" i="5"/>
  <c r="T785" i="5"/>
  <c r="X785" i="5"/>
  <c r="V789" i="5"/>
  <c r="X789" i="5"/>
  <c r="W793" i="5"/>
  <c r="X793" i="5"/>
  <c r="W797" i="5"/>
  <c r="X797" i="5"/>
  <c r="V801" i="5"/>
  <c r="X801" i="5"/>
  <c r="V805" i="5"/>
  <c r="X805" i="5"/>
  <c r="V813" i="5"/>
  <c r="X813" i="5"/>
  <c r="V817" i="5"/>
  <c r="X817" i="5"/>
  <c r="W821" i="5"/>
  <c r="X821" i="5"/>
  <c r="V825" i="5"/>
  <c r="X825" i="5"/>
  <c r="T829" i="5"/>
  <c r="X829" i="5"/>
  <c r="V833" i="5"/>
  <c r="X833" i="5"/>
  <c r="W837" i="5"/>
  <c r="X837" i="5"/>
  <c r="U841" i="5"/>
  <c r="X841" i="5"/>
  <c r="T845" i="5"/>
  <c r="X845" i="5"/>
  <c r="U849" i="5"/>
  <c r="X849" i="5"/>
  <c r="T853" i="5"/>
  <c r="X853" i="5"/>
  <c r="W857" i="5"/>
  <c r="X857" i="5"/>
  <c r="T861" i="5"/>
  <c r="X861" i="5"/>
  <c r="U865" i="5"/>
  <c r="X865" i="5"/>
  <c r="T869" i="5"/>
  <c r="X869" i="5"/>
  <c r="W873" i="5"/>
  <c r="X873" i="5"/>
  <c r="W877" i="5"/>
  <c r="X877" i="5"/>
  <c r="V893" i="5"/>
  <c r="X893" i="5"/>
  <c r="W897" i="5"/>
  <c r="X897" i="5"/>
  <c r="T901" i="5"/>
  <c r="X901" i="5"/>
  <c r="W905" i="5"/>
  <c r="X905" i="5"/>
  <c r="T909" i="5"/>
  <c r="X909" i="5"/>
  <c r="W913" i="5"/>
  <c r="X913" i="5"/>
  <c r="W921" i="5"/>
  <c r="X921" i="5"/>
  <c r="W933" i="5"/>
  <c r="X933" i="5"/>
  <c r="W937" i="5"/>
  <c r="X937" i="5"/>
  <c r="T941" i="5"/>
  <c r="X941" i="5"/>
  <c r="T945" i="5"/>
  <c r="X945" i="5"/>
  <c r="T949" i="5"/>
  <c r="X949" i="5"/>
  <c r="T953" i="5"/>
  <c r="X953" i="5"/>
  <c r="U957" i="5"/>
  <c r="X957" i="5"/>
  <c r="U961" i="5"/>
  <c r="X961" i="5"/>
  <c r="T969" i="5"/>
  <c r="X969" i="5"/>
  <c r="U973" i="5"/>
  <c r="X973" i="5"/>
  <c r="T977" i="5"/>
  <c r="X977" i="5"/>
  <c r="T981" i="5"/>
  <c r="X981" i="5"/>
  <c r="V985" i="5"/>
  <c r="X985" i="5"/>
  <c r="T993" i="5"/>
  <c r="X993" i="5"/>
  <c r="T997" i="5"/>
  <c r="X997" i="5"/>
  <c r="T1005" i="5"/>
  <c r="X1005" i="5"/>
  <c r="T1009" i="5"/>
  <c r="X1009" i="5"/>
  <c r="T1013" i="5"/>
  <c r="X1013" i="5"/>
  <c r="T1017" i="5"/>
  <c r="X1017" i="5"/>
  <c r="T1021" i="5"/>
  <c r="X1021" i="5"/>
  <c r="T1025" i="5"/>
  <c r="X1025" i="5"/>
  <c r="T1037" i="5"/>
  <c r="X1037" i="5"/>
  <c r="T1041" i="5"/>
  <c r="X1041" i="5"/>
  <c r="T1045" i="5"/>
  <c r="X1045" i="5"/>
  <c r="T1049" i="5"/>
  <c r="X1049" i="5"/>
  <c r="T1053" i="5"/>
  <c r="X1053" i="5"/>
  <c r="U698" i="5"/>
  <c r="X698" i="5"/>
  <c r="U714" i="5"/>
  <c r="X714" i="5"/>
  <c r="U726" i="5"/>
  <c r="X726" i="5"/>
  <c r="U730" i="5"/>
  <c r="X730" i="5"/>
  <c r="W742" i="5"/>
  <c r="X742" i="5"/>
  <c r="W746" i="5"/>
  <c r="X746" i="5"/>
  <c r="W750" i="5"/>
  <c r="X750" i="5"/>
  <c r="W754" i="5"/>
  <c r="X754" i="5"/>
  <c r="W758" i="5"/>
  <c r="X758" i="5"/>
  <c r="W762" i="5"/>
  <c r="X762" i="5"/>
  <c r="U766" i="5"/>
  <c r="X766" i="5"/>
  <c r="T770" i="5"/>
  <c r="X770" i="5"/>
  <c r="T774" i="5"/>
  <c r="X774" i="5"/>
  <c r="V786" i="5"/>
  <c r="X786" i="5"/>
  <c r="V798" i="5"/>
  <c r="X798" i="5"/>
  <c r="V802" i="5"/>
  <c r="X802" i="5"/>
  <c r="V806" i="5"/>
  <c r="X806" i="5"/>
  <c r="V810" i="5"/>
  <c r="X810" i="5"/>
  <c r="U814" i="5"/>
  <c r="X814" i="5"/>
  <c r="V818" i="5"/>
  <c r="X818" i="5"/>
  <c r="V826" i="5"/>
  <c r="X826" i="5"/>
  <c r="U830" i="5"/>
  <c r="X830" i="5"/>
  <c r="V834" i="5"/>
  <c r="X834" i="5"/>
  <c r="V838" i="5"/>
  <c r="X838" i="5"/>
  <c r="V842" i="5"/>
  <c r="X842" i="5"/>
  <c r="T846" i="5"/>
  <c r="X846" i="5"/>
  <c r="V850" i="5"/>
  <c r="X850" i="5"/>
  <c r="V854" i="5"/>
  <c r="X854" i="5"/>
  <c r="V862" i="5"/>
  <c r="X862" i="5"/>
  <c r="V866" i="5"/>
  <c r="X866" i="5"/>
  <c r="V874" i="5"/>
  <c r="X874" i="5"/>
  <c r="V878" i="5"/>
  <c r="X878" i="5"/>
  <c r="W882" i="5"/>
  <c r="X882" i="5"/>
  <c r="V894" i="5"/>
  <c r="X894" i="5"/>
  <c r="V898" i="5"/>
  <c r="X898" i="5"/>
  <c r="V902" i="5"/>
  <c r="X902" i="5"/>
  <c r="V906" i="5"/>
  <c r="X906" i="5"/>
  <c r="V910" i="5"/>
  <c r="X910" i="5"/>
  <c r="V914" i="5"/>
  <c r="X914" i="5"/>
  <c r="W918" i="5"/>
  <c r="X918" i="5"/>
  <c r="V922" i="5"/>
  <c r="X922" i="5"/>
  <c r="V934" i="5"/>
  <c r="X934" i="5"/>
  <c r="V942" i="5"/>
  <c r="X942" i="5"/>
  <c r="V946" i="5"/>
  <c r="X946" i="5"/>
  <c r="V950" i="5"/>
  <c r="X950" i="5"/>
  <c r="T954" i="5"/>
  <c r="X954" i="5"/>
  <c r="W958" i="5"/>
  <c r="X958" i="5"/>
  <c r="T962" i="5"/>
  <c r="X962" i="5"/>
  <c r="W966" i="5"/>
  <c r="X966" i="5"/>
  <c r="T970" i="5"/>
  <c r="X970" i="5"/>
  <c r="W974" i="5"/>
  <c r="X974" i="5"/>
  <c r="W978" i="5"/>
  <c r="X978" i="5"/>
  <c r="W982" i="5"/>
  <c r="X982" i="5"/>
  <c r="W986" i="5"/>
  <c r="X986" i="5"/>
  <c r="W990" i="5"/>
  <c r="X990" i="5"/>
  <c r="W998" i="5"/>
  <c r="X998" i="5"/>
  <c r="W1006" i="5"/>
  <c r="X1006" i="5"/>
  <c r="W1010" i="5"/>
  <c r="X1010" i="5"/>
  <c r="W1014" i="5"/>
  <c r="X1014" i="5"/>
  <c r="W1018" i="5"/>
  <c r="X1018" i="5"/>
  <c r="W1022" i="5"/>
  <c r="X1022" i="5"/>
  <c r="W1026" i="5"/>
  <c r="X1026" i="5"/>
  <c r="W1038" i="5"/>
  <c r="X1038" i="5"/>
  <c r="W1042" i="5"/>
  <c r="X1042" i="5"/>
  <c r="W1046" i="5"/>
  <c r="X1046" i="5"/>
  <c r="W1050" i="5"/>
  <c r="X1050" i="5"/>
  <c r="W1054" i="5"/>
  <c r="X1054" i="5"/>
  <c r="G118" i="10"/>
  <c r="G115" i="10"/>
  <c r="G116" i="10"/>
  <c r="G109" i="10"/>
  <c r="G133" i="10"/>
  <c r="G124" i="10"/>
  <c r="X87" i="5"/>
  <c r="Q76" i="3"/>
  <c r="A77" i="3"/>
  <c r="Q77" i="3"/>
  <c r="Q40" i="3"/>
  <c r="P40" i="3" s="1"/>
  <c r="O12" i="3"/>
  <c r="P12" i="3" s="1"/>
  <c r="Q12" i="3"/>
  <c r="A21" i="3"/>
  <c r="Q21" i="3"/>
  <c r="A40" i="3"/>
  <c r="A51" i="3"/>
  <c r="Q51" i="3"/>
  <c r="A59" i="3"/>
  <c r="Q59" i="3"/>
  <c r="A70" i="3"/>
  <c r="Q70" i="3"/>
  <c r="A50" i="3"/>
  <c r="Q50" i="3"/>
  <c r="A22" i="3"/>
  <c r="Q22" i="3"/>
  <c r="A52" i="3"/>
  <c r="Q52" i="3"/>
  <c r="A60" i="3"/>
  <c r="Q60" i="3"/>
  <c r="A23" i="3"/>
  <c r="Q23" i="3"/>
  <c r="A31" i="3"/>
  <c r="Q31" i="3"/>
  <c r="F7" i="19" s="1"/>
  <c r="A42" i="3"/>
  <c r="Q42" i="3"/>
  <c r="A53" i="3"/>
  <c r="Q53" i="3"/>
  <c r="A61" i="3"/>
  <c r="Q61" i="3"/>
  <c r="A36" i="3"/>
  <c r="Q36" i="3"/>
  <c r="A32" i="3"/>
  <c r="Q32" i="3"/>
  <c r="F11" i="19" s="1"/>
  <c r="A43" i="3"/>
  <c r="Q43" i="3"/>
  <c r="A62" i="3"/>
  <c r="Q62" i="3"/>
  <c r="A58" i="3"/>
  <c r="Q58" i="3"/>
  <c r="A17" i="3"/>
  <c r="O17" i="3"/>
  <c r="Q17" i="3"/>
  <c r="A5" i="3"/>
  <c r="Q5" i="3"/>
  <c r="A33" i="3"/>
  <c r="Q33" i="3"/>
  <c r="A44" i="3"/>
  <c r="Q44" i="3"/>
  <c r="A55" i="3"/>
  <c r="Q55" i="3"/>
  <c r="A63" i="3"/>
  <c r="Q63" i="3"/>
  <c r="A76" i="3"/>
  <c r="A66" i="3"/>
  <c r="Q66" i="3"/>
  <c r="A15" i="3"/>
  <c r="Q15" i="3"/>
  <c r="O15" i="3"/>
  <c r="A6" i="3"/>
  <c r="Q6" i="3"/>
  <c r="A34" i="3"/>
  <c r="Q34" i="3"/>
  <c r="A45" i="3"/>
  <c r="Q45" i="3"/>
  <c r="A56" i="3"/>
  <c r="Q56" i="3"/>
  <c r="A64" i="3"/>
  <c r="Q64" i="3"/>
  <c r="A19" i="3"/>
  <c r="Q19" i="3"/>
  <c r="A12" i="3"/>
  <c r="A35" i="3"/>
  <c r="Q35" i="3"/>
  <c r="A49" i="3"/>
  <c r="Q49" i="3"/>
  <c r="A57" i="3"/>
  <c r="Q57" i="3"/>
  <c r="A65" i="3"/>
  <c r="Q65" i="3"/>
  <c r="A78" i="3"/>
  <c r="AL480" i="17"/>
  <c r="AL482" i="17" s="1"/>
  <c r="AL488" i="17" s="1"/>
  <c r="AL497" i="17" s="1"/>
  <c r="AL500" i="17" s="1"/>
  <c r="G663" i="10"/>
  <c r="G459" i="10"/>
  <c r="G488" i="10"/>
  <c r="G68" i="10"/>
  <c r="G338" i="10"/>
  <c r="G319" i="10"/>
  <c r="G298" i="10"/>
  <c r="G277" i="10"/>
  <c r="G251" i="10"/>
  <c r="G397" i="10"/>
  <c r="G412" i="10"/>
  <c r="G261" i="10"/>
  <c r="G440" i="10"/>
  <c r="G435" i="10"/>
  <c r="G89" i="10"/>
  <c r="G76" i="10"/>
  <c r="G420" i="10"/>
  <c r="G297" i="10"/>
  <c r="G346" i="10"/>
  <c r="G410" i="10"/>
  <c r="G382" i="10"/>
  <c r="G405" i="10"/>
  <c r="G690" i="10"/>
  <c r="G827" i="10"/>
  <c r="G776" i="10"/>
  <c r="G704" i="10"/>
  <c r="G682" i="10"/>
  <c r="G817" i="10"/>
  <c r="G719" i="10"/>
  <c r="G685" i="10"/>
  <c r="G865" i="10"/>
  <c r="G758" i="10"/>
  <c r="G678" i="10"/>
  <c r="G35" i="10"/>
  <c r="G110" i="10"/>
  <c r="G484" i="10"/>
  <c r="G15" i="10"/>
  <c r="G832" i="10"/>
  <c r="G807" i="10"/>
  <c r="G875" i="10"/>
  <c r="G145" i="10"/>
  <c r="G500" i="10"/>
  <c r="G743" i="10"/>
  <c r="G220" i="10"/>
  <c r="G495" i="10"/>
  <c r="G687" i="10"/>
  <c r="G795" i="10"/>
  <c r="G52" i="10"/>
  <c r="G700" i="10"/>
  <c r="G767" i="10"/>
  <c r="G831" i="10"/>
  <c r="G677" i="10"/>
  <c r="G737" i="10"/>
  <c r="G462" i="10"/>
  <c r="G564" i="10"/>
  <c r="G535" i="10"/>
  <c r="G465" i="10"/>
  <c r="G629" i="10"/>
  <c r="G587" i="10"/>
  <c r="G667" i="10"/>
  <c r="G581" i="10"/>
  <c r="G570" i="10"/>
  <c r="G544" i="10"/>
  <c r="G625" i="10"/>
  <c r="G529" i="10"/>
  <c r="G621" i="10"/>
  <c r="G664" i="10"/>
  <c r="G602" i="10"/>
  <c r="G561" i="10"/>
  <c r="G571" i="10"/>
  <c r="G470" i="10"/>
  <c r="G872" i="10"/>
  <c r="G204" i="10"/>
  <c r="G510" i="10"/>
  <c r="G143" i="10"/>
  <c r="G29" i="10"/>
  <c r="G32" i="10"/>
  <c r="G135" i="10"/>
  <c r="G203" i="10"/>
  <c r="G489" i="10"/>
  <c r="G266" i="10"/>
  <c r="G72" i="10"/>
  <c r="G267" i="10"/>
  <c r="G301" i="10"/>
  <c r="G248" i="10"/>
  <c r="G253" i="10"/>
  <c r="G309" i="10"/>
  <c r="G250" i="10"/>
  <c r="G392" i="10"/>
  <c r="G284" i="10"/>
  <c r="G438" i="10"/>
  <c r="G85" i="10"/>
  <c r="G337" i="10"/>
  <c r="G360" i="10"/>
  <c r="G404" i="10"/>
  <c r="G283" i="10"/>
  <c r="G316" i="10"/>
  <c r="G388" i="10"/>
  <c r="G278" i="10"/>
  <c r="G380" i="10"/>
  <c r="G727" i="10"/>
  <c r="G794" i="10"/>
  <c r="G842" i="10"/>
  <c r="G810" i="10"/>
  <c r="G751" i="10"/>
  <c r="G680" i="10"/>
  <c r="G753" i="10"/>
  <c r="G722" i="10"/>
  <c r="G869" i="10"/>
  <c r="G792" i="10"/>
  <c r="G710" i="10"/>
  <c r="G34" i="10"/>
  <c r="G125" i="10"/>
  <c r="G126" i="10"/>
  <c r="G200" i="10"/>
  <c r="G508" i="10"/>
  <c r="G699" i="10"/>
  <c r="G674" i="10"/>
  <c r="G867" i="10"/>
  <c r="G733" i="10"/>
  <c r="G779" i="10"/>
  <c r="G498" i="10"/>
  <c r="G218" i="10"/>
  <c r="G724" i="10"/>
  <c r="G828" i="10"/>
  <c r="G226" i="10"/>
  <c r="G698" i="10"/>
  <c r="G801" i="10"/>
  <c r="G219" i="10"/>
  <c r="G744" i="10"/>
  <c r="G773" i="10"/>
  <c r="G578" i="10"/>
  <c r="G610" i="10"/>
  <c r="G596" i="10"/>
  <c r="G472" i="10"/>
  <c r="G9" i="10"/>
  <c r="G665" i="10"/>
  <c r="G607" i="10"/>
  <c r="G604" i="10"/>
  <c r="G599" i="10"/>
  <c r="G641" i="10"/>
  <c r="G632" i="10"/>
  <c r="G579" i="10"/>
  <c r="G552" i="10"/>
  <c r="G585" i="10"/>
  <c r="G608" i="10"/>
  <c r="G576" i="10"/>
  <c r="G460" i="10"/>
  <c r="G653" i="10"/>
  <c r="G574" i="10"/>
  <c r="G560" i="10"/>
  <c r="G452" i="10"/>
  <c r="G550" i="10"/>
  <c r="G778" i="10"/>
  <c r="G27" i="10"/>
  <c r="G230" i="10"/>
  <c r="G210" i="10"/>
  <c r="G38" i="10"/>
  <c r="G149" i="10"/>
  <c r="G128" i="10"/>
  <c r="G156" i="10"/>
  <c r="G513" i="10"/>
  <c r="G61" i="10"/>
  <c r="G426" i="10"/>
  <c r="G79" i="10"/>
  <c r="G299" i="10"/>
  <c r="G275" i="10"/>
  <c r="G67" i="10"/>
  <c r="G83" i="10"/>
  <c r="G527" i="10"/>
  <c r="G314" i="10"/>
  <c r="G88" i="10"/>
  <c r="G444" i="10"/>
  <c r="G326" i="10"/>
  <c r="G342" i="10"/>
  <c r="G358" i="10"/>
  <c r="G408" i="10"/>
  <c r="G282" i="10"/>
  <c r="G526" i="10"/>
  <c r="G386" i="10"/>
  <c r="G345" i="10"/>
  <c r="G78" i="10"/>
  <c r="G796" i="10"/>
  <c r="G694" i="10"/>
  <c r="G809" i="10"/>
  <c r="G26" i="10"/>
  <c r="G786" i="10"/>
  <c r="G717" i="10"/>
  <c r="G750" i="10"/>
  <c r="G755" i="10"/>
  <c r="G856" i="10"/>
  <c r="G521" i="10"/>
  <c r="G672" i="10"/>
  <c r="G119" i="10"/>
  <c r="G122" i="10"/>
  <c r="G676" i="10"/>
  <c r="G16" i="10"/>
  <c r="G58" i="10"/>
  <c r="G736" i="10"/>
  <c r="G712" i="10"/>
  <c r="G863" i="10"/>
  <c r="G768" i="10"/>
  <c r="G845" i="10"/>
  <c r="G490" i="10"/>
  <c r="G216" i="10"/>
  <c r="G759" i="10"/>
  <c r="G756" i="10"/>
  <c r="G225" i="10"/>
  <c r="G735" i="10"/>
  <c r="G834" i="10"/>
  <c r="G684" i="10"/>
  <c r="G707" i="10"/>
  <c r="G839" i="10"/>
  <c r="G577" i="10"/>
  <c r="G661" i="10"/>
  <c r="G595" i="10"/>
  <c r="G473" i="10"/>
  <c r="G461" i="10"/>
  <c r="G530" i="10"/>
  <c r="G658" i="10"/>
  <c r="G655" i="10"/>
  <c r="G650" i="10"/>
  <c r="G640" i="10"/>
  <c r="G634" i="10"/>
  <c r="G456" i="10"/>
  <c r="G580" i="10"/>
  <c r="G556" i="10"/>
  <c r="G584" i="10"/>
  <c r="G612" i="10"/>
  <c r="G659" i="10"/>
  <c r="G606" i="10"/>
  <c r="G575" i="10"/>
  <c r="G619" i="10"/>
  <c r="G617" i="10"/>
  <c r="G573" i="10"/>
  <c r="G466" i="10"/>
  <c r="G613" i="10"/>
  <c r="G464" i="10"/>
  <c r="G742" i="10"/>
  <c r="G40" i="10"/>
  <c r="G138" i="10"/>
  <c r="G519" i="10"/>
  <c r="G31" i="10"/>
  <c r="G150" i="10"/>
  <c r="G129" i="10"/>
  <c r="G155" i="10"/>
  <c r="G847" i="10"/>
  <c r="G264" i="10"/>
  <c r="G422" i="10"/>
  <c r="G419" i="10"/>
  <c r="G347" i="10"/>
  <c r="G287" i="10"/>
  <c r="G272" i="10"/>
  <c r="G303" i="10"/>
  <c r="G295" i="10"/>
  <c r="G276" i="10"/>
  <c r="G437" i="10"/>
  <c r="G86" i="10"/>
  <c r="G324" i="10"/>
  <c r="G372" i="10"/>
  <c r="G354" i="10"/>
  <c r="G385" i="10"/>
  <c r="G415" i="10"/>
  <c r="G285" i="10"/>
  <c r="G307" i="10"/>
  <c r="G247" i="10"/>
  <c r="G246" i="10"/>
  <c r="G829" i="10"/>
  <c r="G731" i="10"/>
  <c r="G705" i="10"/>
  <c r="G697" i="10"/>
  <c r="G820" i="10"/>
  <c r="G749" i="10"/>
  <c r="G785" i="10"/>
  <c r="G790" i="10"/>
  <c r="G861" i="10"/>
  <c r="G187" i="10"/>
  <c r="G781" i="10"/>
  <c r="G112" i="10"/>
  <c r="G117" i="10"/>
  <c r="G714" i="10"/>
  <c r="G17" i="10"/>
  <c r="G503" i="10"/>
  <c r="G771" i="10"/>
  <c r="G874" i="10"/>
  <c r="G691" i="10"/>
  <c r="G835" i="10"/>
  <c r="G812" i="10"/>
  <c r="G48" i="10"/>
  <c r="G217" i="10"/>
  <c r="G793" i="10"/>
  <c r="G824" i="10"/>
  <c r="G54" i="10"/>
  <c r="G770" i="10"/>
  <c r="G873" i="10"/>
  <c r="G721" i="10"/>
  <c r="G780" i="10"/>
  <c r="G806" i="10"/>
  <c r="G624" i="10"/>
  <c r="G542" i="10"/>
  <c r="G594" i="10"/>
  <c r="G543" i="10"/>
  <c r="G588" i="10"/>
  <c r="G531" i="10"/>
  <c r="G74" i="10"/>
  <c r="G537" i="10"/>
  <c r="G458" i="10"/>
  <c r="G639" i="10"/>
  <c r="G630" i="10"/>
  <c r="G647" i="10"/>
  <c r="G568" i="10"/>
  <c r="G586" i="10"/>
  <c r="G582" i="10"/>
  <c r="G646" i="10"/>
  <c r="G92" i="10"/>
  <c r="G657" i="10"/>
  <c r="G563" i="10"/>
  <c r="G614" i="10"/>
  <c r="G8" i="10"/>
  <c r="G463" i="10"/>
  <c r="G849" i="10"/>
  <c r="G44" i="10"/>
  <c r="G137" i="10"/>
  <c r="G231" i="10"/>
  <c r="G33" i="10"/>
  <c r="G152" i="10"/>
  <c r="G131" i="10"/>
  <c r="G233" i="10"/>
  <c r="G492" i="10"/>
  <c r="G330" i="10"/>
  <c r="G262" i="10"/>
  <c r="G403" i="10"/>
  <c r="G378" i="10"/>
  <c r="G310" i="10"/>
  <c r="G525" i="10"/>
  <c r="G304" i="10"/>
  <c r="G293" i="10"/>
  <c r="G291" i="10"/>
  <c r="G430" i="10"/>
  <c r="G448" i="10"/>
  <c r="G446" i="10"/>
  <c r="G370" i="10"/>
  <c r="G365" i="10"/>
  <c r="G249" i="10"/>
  <c r="G395" i="10"/>
  <c r="G524" i="10"/>
  <c r="G289" i="10"/>
  <c r="G69" i="10"/>
  <c r="G70" i="10"/>
  <c r="G206" i="10"/>
  <c r="G766" i="10"/>
  <c r="G703" i="10"/>
  <c r="G734" i="10"/>
  <c r="G679" i="10"/>
  <c r="G784" i="10"/>
  <c r="G681" i="10"/>
  <c r="G823" i="10"/>
  <c r="G859" i="10"/>
  <c r="G772" i="10"/>
  <c r="G814" i="10"/>
  <c r="G111" i="10"/>
  <c r="G747" i="10"/>
  <c r="G693" i="10"/>
  <c r="G701" i="10"/>
  <c r="G805" i="10"/>
  <c r="G147" i="10"/>
  <c r="G728" i="10"/>
  <c r="G696" i="10"/>
  <c r="G675" i="10"/>
  <c r="G212" i="10"/>
  <c r="G496" i="10"/>
  <c r="G826" i="10"/>
  <c r="G427" i="10"/>
  <c r="G227" i="10"/>
  <c r="G804" i="10"/>
  <c r="G692" i="10"/>
  <c r="G754" i="10"/>
  <c r="G813" i="10"/>
  <c r="G240" i="10"/>
  <c r="G541" i="10"/>
  <c r="G536" i="10"/>
  <c r="G469" i="10"/>
  <c r="G638" i="10"/>
  <c r="G549" i="10"/>
  <c r="G483" i="10"/>
  <c r="G468" i="10"/>
  <c r="G477" i="10"/>
  <c r="G642" i="10"/>
  <c r="G669" i="10"/>
  <c r="G546" i="10"/>
  <c r="G569" i="10"/>
  <c r="G593" i="10"/>
  <c r="G589" i="10"/>
  <c r="G616" i="10"/>
  <c r="G93" i="10"/>
  <c r="G532" i="10"/>
  <c r="G562" i="10"/>
  <c r="G603" i="10"/>
  <c r="G601" i="10"/>
  <c r="G668" i="10"/>
  <c r="G597" i="10"/>
  <c r="G475" i="10"/>
  <c r="G746" i="10"/>
  <c r="G243" i="10"/>
  <c r="G139" i="10"/>
  <c r="G36" i="10"/>
  <c r="G37" i="10"/>
  <c r="G234" i="10"/>
  <c r="G136" i="10"/>
  <c r="G520" i="10"/>
  <c r="G242" i="10"/>
  <c r="G258" i="10"/>
  <c r="G424" i="10"/>
  <c r="G417" i="10"/>
  <c r="G376" i="10"/>
  <c r="G279" i="10"/>
  <c r="G64" i="10"/>
  <c r="G329" i="10"/>
  <c r="G6" i="10"/>
  <c r="G315" i="10"/>
  <c r="G433" i="10"/>
  <c r="G367" i="10"/>
  <c r="G353" i="10"/>
  <c r="G368" i="10"/>
  <c r="G356" i="10"/>
  <c r="G302" i="10"/>
  <c r="G305" i="10"/>
  <c r="G273" i="10"/>
  <c r="G351" i="10"/>
  <c r="G523" i="10"/>
  <c r="G331" i="10"/>
  <c r="G688" i="10"/>
  <c r="G800" i="10"/>
  <c r="G741" i="10"/>
  <c r="G769" i="10"/>
  <c r="G716" i="10"/>
  <c r="G818" i="10"/>
  <c r="G718" i="10"/>
  <c r="G851" i="10"/>
  <c r="G854" i="10"/>
  <c r="G189" i="10"/>
  <c r="G745" i="10"/>
  <c r="G123" i="10"/>
  <c r="G127" i="10"/>
  <c r="G816" i="10"/>
  <c r="G730" i="10"/>
  <c r="G738" i="10"/>
  <c r="G838" i="10"/>
  <c r="G706" i="10"/>
  <c r="G763" i="10"/>
  <c r="G802" i="10"/>
  <c r="G713" i="10"/>
  <c r="G491" i="10"/>
  <c r="G493" i="10"/>
  <c r="G689" i="10"/>
  <c r="G423" i="10"/>
  <c r="G673" i="10"/>
  <c r="G837" i="10"/>
  <c r="G729" i="10"/>
  <c r="G789" i="10"/>
  <c r="G846" i="10"/>
  <c r="G90" i="10"/>
  <c r="G611" i="10"/>
  <c r="G528" i="10"/>
  <c r="G94" i="10"/>
  <c r="G454" i="10"/>
  <c r="G609" i="10"/>
  <c r="G548" i="10"/>
  <c r="G547" i="10"/>
  <c r="G538" i="10"/>
  <c r="G636" i="10"/>
  <c r="G635" i="10"/>
  <c r="G628" i="10"/>
  <c r="G545" i="10"/>
  <c r="G566" i="10"/>
  <c r="G592" i="10"/>
  <c r="G583" i="10"/>
  <c r="G476" i="10"/>
  <c r="G479" i="10"/>
  <c r="G539" i="10"/>
  <c r="G654" i="10"/>
  <c r="G652" i="10"/>
  <c r="G598" i="10"/>
  <c r="G626" i="10"/>
  <c r="G648" i="10"/>
  <c r="G144" i="10"/>
  <c r="G815" i="10"/>
  <c r="G154" i="10"/>
  <c r="G142" i="10"/>
  <c r="G515" i="10"/>
  <c r="G30" i="10"/>
  <c r="G130" i="10"/>
  <c r="G244" i="10"/>
  <c r="G487" i="10"/>
  <c r="G848" i="10"/>
  <c r="G414" i="10"/>
  <c r="G280" i="10"/>
  <c r="G407" i="10"/>
  <c r="G335" i="10"/>
  <c r="G411" i="10"/>
  <c r="G725" i="10"/>
  <c r="G748" i="10"/>
  <c r="G855" i="10"/>
  <c r="G121" i="10"/>
  <c r="G762" i="10"/>
  <c r="G876" i="10"/>
  <c r="G56" i="10"/>
  <c r="G822" i="10"/>
  <c r="G106" i="10"/>
  <c r="G455" i="10"/>
  <c r="G644" i="10"/>
  <c r="G591" i="10"/>
  <c r="G605" i="10"/>
  <c r="G649" i="10"/>
  <c r="G782" i="10"/>
  <c r="G5" i="10"/>
  <c r="G514" i="10"/>
  <c r="G195" i="10"/>
  <c r="G235" i="10"/>
  <c r="G522" i="10"/>
  <c r="G166" i="10"/>
  <c r="G161" i="10"/>
  <c r="G181" i="10"/>
  <c r="G199" i="10"/>
  <c r="G775" i="10"/>
  <c r="G502" i="10"/>
  <c r="G507" i="10"/>
  <c r="G102" i="10"/>
  <c r="G174" i="10"/>
  <c r="G294" i="10"/>
  <c r="G96" i="10"/>
  <c r="G344" i="10"/>
  <c r="G377" i="10"/>
  <c r="G256" i="10"/>
  <c r="G62" i="10"/>
  <c r="G449" i="10"/>
  <c r="G373" i="10"/>
  <c r="G366" i="10"/>
  <c r="G387" i="10"/>
  <c r="G73" i="10"/>
  <c r="G857" i="10"/>
  <c r="G45" i="10"/>
  <c r="G255" i="10"/>
  <c r="G819" i="10"/>
  <c r="G695" i="10"/>
  <c r="G643" i="10"/>
  <c r="G141" i="10"/>
  <c r="G43" i="10"/>
  <c r="G182" i="10"/>
  <c r="G51" i="10"/>
  <c r="G263" i="10"/>
  <c r="G393" i="10"/>
  <c r="G317" i="10"/>
  <c r="G864" i="10"/>
  <c r="G394" i="10"/>
  <c r="G321" i="10"/>
  <c r="G384" i="10"/>
  <c r="G450" i="10"/>
  <c r="G390" i="10"/>
  <c r="G760" i="10"/>
  <c r="G783" i="10"/>
  <c r="G853" i="10"/>
  <c r="G485" i="10"/>
  <c r="G46" i="10"/>
  <c r="G871" i="10"/>
  <c r="G50" i="10"/>
  <c r="G715" i="10"/>
  <c r="G565" i="10"/>
  <c r="G622" i="10"/>
  <c r="G590" i="10"/>
  <c r="G645" i="10"/>
  <c r="G656" i="10"/>
  <c r="G471" i="10"/>
  <c r="G4" i="10"/>
  <c r="G229" i="10"/>
  <c r="G511" i="10"/>
  <c r="G196" i="10"/>
  <c r="G241" i="10"/>
  <c r="G39" i="10"/>
  <c r="G168" i="10"/>
  <c r="G162" i="10"/>
  <c r="G13" i="10"/>
  <c r="G24" i="10"/>
  <c r="G841" i="10"/>
  <c r="G501" i="10"/>
  <c r="G49" i="10"/>
  <c r="G98" i="10"/>
  <c r="G176" i="10"/>
  <c r="G63" i="10"/>
  <c r="G11" i="10"/>
  <c r="G339" i="10"/>
  <c r="G375" i="10"/>
  <c r="G398" i="10"/>
  <c r="G431" i="10"/>
  <c r="G327" i="10"/>
  <c r="G371" i="10"/>
  <c r="G323" i="10"/>
  <c r="G308" i="10"/>
  <c r="G332" i="10"/>
  <c r="G862" i="10"/>
  <c r="G362" i="10"/>
  <c r="G205" i="10"/>
  <c r="G499" i="10"/>
  <c r="G252" i="10"/>
  <c r="G618" i="10"/>
  <c r="G186" i="10"/>
  <c r="G164" i="10"/>
  <c r="G788" i="10"/>
  <c r="G95" i="10"/>
  <c r="G451" i="10"/>
  <c r="G421" i="10"/>
  <c r="G364" i="10"/>
  <c r="G428" i="10"/>
  <c r="G340" i="10"/>
  <c r="G409" i="10"/>
  <c r="G833" i="10"/>
  <c r="G752" i="10"/>
  <c r="G671" i="10"/>
  <c r="G209" i="10"/>
  <c r="G148" i="10"/>
  <c r="G214" i="10"/>
  <c r="G711" i="10"/>
  <c r="G670" i="10"/>
  <c r="G467" i="10"/>
  <c r="G551" i="10"/>
  <c r="G555" i="10"/>
  <c r="G478" i="10"/>
  <c r="G666" i="10"/>
  <c r="G153" i="10"/>
  <c r="G132" i="10"/>
  <c r="G185" i="10"/>
  <c r="G198" i="10"/>
  <c r="G238" i="10"/>
  <c r="G516" i="10"/>
  <c r="G171" i="10"/>
  <c r="G163" i="10"/>
  <c r="G183" i="10"/>
  <c r="G686" i="10"/>
  <c r="G808" i="10"/>
  <c r="G223" i="10"/>
  <c r="G821" i="10"/>
  <c r="G91" i="10"/>
  <c r="G177" i="10"/>
  <c r="G265" i="10"/>
  <c r="G104" i="10"/>
  <c r="G268" i="10"/>
  <c r="G313" i="10"/>
  <c r="G334" i="10"/>
  <c r="G434" i="10"/>
  <c r="G325" i="10"/>
  <c r="G369" i="10"/>
  <c r="G396" i="10"/>
  <c r="G290" i="10"/>
  <c r="G270" i="10"/>
  <c r="G860" i="10"/>
  <c r="G399" i="10"/>
  <c r="G350" i="10"/>
  <c r="G797" i="10"/>
  <c r="G557" i="10"/>
  <c r="G600" i="10"/>
  <c r="G237" i="10"/>
  <c r="G245" i="10"/>
  <c r="G59" i="10"/>
  <c r="G172" i="10"/>
  <c r="G311" i="10"/>
  <c r="G341" i="10"/>
  <c r="G486" i="10"/>
  <c r="G343" i="10"/>
  <c r="G400" i="10"/>
  <c r="G442" i="10"/>
  <c r="G75" i="10"/>
  <c r="G81" i="10"/>
  <c r="G740" i="10"/>
  <c r="G787" i="10"/>
  <c r="G709" i="10"/>
  <c r="G21" i="10"/>
  <c r="G146" i="10"/>
  <c r="G497" i="10"/>
  <c r="G228" i="10"/>
  <c r="G708" i="10"/>
  <c r="G480" i="10"/>
  <c r="G620" i="10"/>
  <c r="G627" i="10"/>
  <c r="G540" i="10"/>
  <c r="G10" i="10"/>
  <c r="G572" i="10"/>
  <c r="G509" i="10"/>
  <c r="G134" i="10"/>
  <c r="G184" i="10"/>
  <c r="G193" i="10"/>
  <c r="G239" i="10"/>
  <c r="G202" i="10"/>
  <c r="G169" i="10"/>
  <c r="G160" i="10"/>
  <c r="G180" i="10"/>
  <c r="G723" i="10"/>
  <c r="G702" i="10"/>
  <c r="G57" i="10"/>
  <c r="G720" i="10"/>
  <c r="G107" i="10"/>
  <c r="G178" i="10"/>
  <c r="G259" i="10"/>
  <c r="G99" i="10"/>
  <c r="G418" i="10"/>
  <c r="G288" i="10"/>
  <c r="G413" i="10"/>
  <c r="G429" i="10"/>
  <c r="G318" i="10"/>
  <c r="G336" i="10"/>
  <c r="G306" i="10"/>
  <c r="G383" i="10"/>
  <c r="G47" i="10"/>
  <c r="G868" i="10"/>
  <c r="G401" i="10"/>
  <c r="G777" i="10"/>
  <c r="G765" i="10"/>
  <c r="G482" i="10"/>
  <c r="G559" i="10"/>
  <c r="G197" i="10"/>
  <c r="G170" i="10"/>
  <c r="G757" i="10"/>
  <c r="G101" i="10"/>
  <c r="G402" i="10"/>
  <c r="G443" i="10"/>
  <c r="G71" i="10"/>
  <c r="G374" i="10"/>
  <c r="G328" i="10"/>
  <c r="G348" i="10"/>
  <c r="G286" i="10"/>
  <c r="G269" i="10"/>
  <c r="G803" i="10"/>
  <c r="G858" i="10"/>
  <c r="G120" i="10"/>
  <c r="G774" i="10"/>
  <c r="G221" i="10"/>
  <c r="G726" i="10"/>
  <c r="G764" i="10"/>
  <c r="G662" i="10"/>
  <c r="G660" i="10"/>
  <c r="G633" i="10"/>
  <c r="G567" i="10"/>
  <c r="G474" i="10"/>
  <c r="G533" i="10"/>
  <c r="G811" i="10"/>
  <c r="G236" i="10"/>
  <c r="G208" i="10"/>
  <c r="G191" i="10"/>
  <c r="G232" i="10"/>
  <c r="G850" i="10"/>
  <c r="G3" i="10"/>
  <c r="G158" i="10"/>
  <c r="G19" i="10"/>
  <c r="G23" i="10"/>
  <c r="G825" i="10"/>
  <c r="G55" i="10"/>
  <c r="G224" i="10"/>
  <c r="G425" i="10"/>
  <c r="G12" i="10"/>
  <c r="G175" i="10"/>
  <c r="G188" i="10"/>
  <c r="G103" i="10"/>
  <c r="G300" i="10"/>
  <c r="G254" i="10"/>
  <c r="G82" i="10"/>
  <c r="G439" i="10"/>
  <c r="G436" i="10"/>
  <c r="G359" i="10"/>
  <c r="G391" i="10"/>
  <c r="G406" i="10"/>
  <c r="G870" i="10"/>
  <c r="G363" i="10"/>
  <c r="G312" i="10"/>
  <c r="G333" i="10"/>
  <c r="G349" i="10"/>
  <c r="G352" i="10"/>
  <c r="G66" i="10"/>
  <c r="G836" i="10"/>
  <c r="G852" i="10"/>
  <c r="G113" i="10"/>
  <c r="G840" i="10"/>
  <c r="G222" i="10"/>
  <c r="G761" i="10"/>
  <c r="G798" i="10"/>
  <c r="G320" i="10"/>
  <c r="G799" i="10"/>
  <c r="G615" i="10"/>
  <c r="G558" i="10"/>
  <c r="G518" i="10"/>
  <c r="G18" i="10"/>
  <c r="G53" i="10"/>
  <c r="G20" i="10"/>
  <c r="G292" i="10"/>
  <c r="G274" i="10"/>
  <c r="G512" i="10"/>
  <c r="G623" i="10"/>
  <c r="G105" i="10"/>
  <c r="G416" i="10"/>
  <c r="G830" i="10"/>
  <c r="G631" i="10"/>
  <c r="G844" i="10"/>
  <c r="G28" i="10"/>
  <c r="G192" i="10"/>
  <c r="G505" i="10"/>
  <c r="G100" i="10"/>
  <c r="G80" i="10"/>
  <c r="G389" i="10"/>
  <c r="G651" i="10"/>
  <c r="G97" i="10"/>
  <c r="G357" i="10"/>
  <c r="G457" i="10"/>
  <c r="G739" i="10"/>
  <c r="G77" i="10"/>
  <c r="G432" i="10"/>
  <c r="G213" i="10"/>
  <c r="G554" i="10"/>
  <c r="G140" i="10"/>
  <c r="G42" i="10"/>
  <c r="G22" i="10"/>
  <c r="G683" i="10"/>
  <c r="G2" i="10"/>
  <c r="G441" i="10"/>
  <c r="G271" i="10"/>
  <c r="G553" i="10"/>
  <c r="G791" i="10"/>
  <c r="G7" i="10"/>
  <c r="G843" i="10"/>
  <c r="G165" i="10"/>
  <c r="G866" i="10"/>
  <c r="G41" i="10"/>
  <c r="G296" i="10"/>
  <c r="G732" i="10"/>
  <c r="G637" i="10"/>
  <c r="G517" i="10"/>
  <c r="G201" i="10"/>
  <c r="G25" i="10"/>
  <c r="G84" i="10"/>
  <c r="G257" i="10"/>
  <c r="G445" i="10"/>
  <c r="G381" i="10"/>
  <c r="G60" i="10"/>
  <c r="G167" i="10"/>
  <c r="G447" i="10"/>
  <c r="G211" i="10"/>
  <c r="G379" i="10"/>
  <c r="G281" i="10"/>
  <c r="G453" i="10"/>
  <c r="G14" i="10"/>
  <c r="G157" i="10"/>
  <c r="G504" i="10"/>
  <c r="G173" i="10"/>
  <c r="G322" i="10"/>
  <c r="G361" i="10"/>
  <c r="G87" i="10"/>
  <c r="G151" i="10"/>
  <c r="G534" i="10"/>
  <c r="G481" i="10"/>
  <c r="G190" i="10"/>
  <c r="G159" i="10"/>
  <c r="G506" i="10"/>
  <c r="G179" i="10"/>
  <c r="G65" i="10"/>
  <c r="G355" i="10"/>
  <c r="M361" i="3"/>
  <c r="AI455" i="3"/>
  <c r="S362" i="3"/>
  <c r="F249" i="3"/>
  <c r="F104" i="3"/>
  <c r="E26" i="19" s="1"/>
  <c r="F241" i="3"/>
  <c r="E284" i="3"/>
  <c r="F175" i="3"/>
  <c r="E184" i="3"/>
  <c r="E193" i="3" s="1"/>
  <c r="E38" i="19" s="1"/>
  <c r="F376" i="3"/>
  <c r="F162" i="3"/>
  <c r="E32" i="19" s="1"/>
  <c r="F184" i="3"/>
  <c r="F303" i="3"/>
  <c r="F308" i="3" s="1"/>
  <c r="F313" i="3" s="1"/>
  <c r="E56" i="19" s="1"/>
  <c r="F152" i="3"/>
  <c r="F228" i="3"/>
  <c r="F96" i="3"/>
  <c r="E22" i="19" s="1"/>
  <c r="F178" i="3"/>
  <c r="E249" i="3"/>
  <c r="F394" i="3"/>
  <c r="F265" i="3"/>
  <c r="F286" i="3" s="1"/>
  <c r="X446" i="5"/>
  <c r="X199" i="5"/>
  <c r="X60" i="5"/>
  <c r="X363" i="5"/>
  <c r="X282" i="5"/>
  <c r="X294" i="5"/>
  <c r="X273" i="5"/>
  <c r="X55" i="5"/>
  <c r="T330" i="5"/>
  <c r="X330" i="5"/>
  <c r="T475" i="5"/>
  <c r="X475" i="5"/>
  <c r="X231" i="5"/>
  <c r="X372" i="5"/>
  <c r="X404" i="5"/>
  <c r="W461" i="5"/>
  <c r="X461" i="5"/>
  <c r="X406" i="5"/>
  <c r="X117" i="5"/>
  <c r="X378" i="5"/>
  <c r="X141" i="5"/>
  <c r="W466" i="5"/>
  <c r="X466" i="5"/>
  <c r="X433" i="5"/>
  <c r="V476" i="5"/>
  <c r="X476" i="5"/>
  <c r="X418" i="5"/>
  <c r="X213" i="5"/>
  <c r="X15" i="5"/>
  <c r="X348" i="5"/>
  <c r="X417" i="5"/>
  <c r="X368" i="5"/>
  <c r="X321" i="5"/>
  <c r="X302" i="5"/>
  <c r="V511" i="5"/>
  <c r="X511" i="5"/>
  <c r="V519" i="5"/>
  <c r="X519" i="5"/>
  <c r="V527" i="5"/>
  <c r="X527" i="5"/>
  <c r="U535" i="5"/>
  <c r="X535" i="5"/>
  <c r="U543" i="5"/>
  <c r="X543" i="5"/>
  <c r="W559" i="5"/>
  <c r="X559" i="5"/>
  <c r="U575" i="5"/>
  <c r="X575" i="5"/>
  <c r="W582" i="5"/>
  <c r="X582" i="5"/>
  <c r="U590" i="5"/>
  <c r="X590" i="5"/>
  <c r="V598" i="5"/>
  <c r="X598" i="5"/>
  <c r="V601" i="5"/>
  <c r="X601" i="5"/>
  <c r="T609" i="5"/>
  <c r="X609" i="5"/>
  <c r="T617" i="5"/>
  <c r="X617" i="5"/>
  <c r="V625" i="5"/>
  <c r="X625" i="5"/>
  <c r="V633" i="5"/>
  <c r="X633" i="5"/>
  <c r="V641" i="5"/>
  <c r="X641" i="5"/>
  <c r="V649" i="5"/>
  <c r="X649" i="5"/>
  <c r="V657" i="5"/>
  <c r="X657" i="5"/>
  <c r="W665" i="5"/>
  <c r="X665" i="5"/>
  <c r="W673" i="5"/>
  <c r="X673" i="5"/>
  <c r="V681" i="5"/>
  <c r="X681" i="5"/>
  <c r="V689" i="5"/>
  <c r="X689" i="5"/>
  <c r="X410" i="5"/>
  <c r="X39" i="5"/>
  <c r="X134" i="5"/>
  <c r="X234" i="5"/>
  <c r="U472" i="5"/>
  <c r="X472" i="5"/>
  <c r="X162" i="5"/>
  <c r="X366" i="5"/>
  <c r="X326" i="5"/>
  <c r="W498" i="5"/>
  <c r="X498" i="5"/>
  <c r="X21" i="5"/>
  <c r="X37" i="5"/>
  <c r="X8" i="5"/>
  <c r="X74" i="5"/>
  <c r="X173" i="5"/>
  <c r="X425" i="5"/>
  <c r="X107" i="5"/>
  <c r="X193" i="5"/>
  <c r="X442" i="5"/>
  <c r="X455" i="5"/>
  <c r="X439" i="5"/>
  <c r="W206" i="5"/>
  <c r="X206" i="5"/>
  <c r="X43" i="5"/>
  <c r="X171" i="5"/>
  <c r="X169" i="5"/>
  <c r="X318" i="5"/>
  <c r="T359" i="5"/>
  <c r="X359" i="5"/>
  <c r="X111" i="5"/>
  <c r="X120" i="5"/>
  <c r="X133" i="5"/>
  <c r="X413" i="5"/>
  <c r="X100" i="5"/>
  <c r="X63" i="5"/>
  <c r="W254" i="5"/>
  <c r="X254" i="5"/>
  <c r="X297" i="5"/>
  <c r="X84" i="5"/>
  <c r="W477" i="5"/>
  <c r="X477" i="5"/>
  <c r="X421" i="5"/>
  <c r="X150" i="5"/>
  <c r="W485" i="5"/>
  <c r="X485" i="5"/>
  <c r="X138" i="5"/>
  <c r="X228" i="5"/>
  <c r="X430" i="5"/>
  <c r="V470" i="5"/>
  <c r="X470" i="5"/>
  <c r="X382" i="5"/>
  <c r="X201" i="5"/>
  <c r="X429" i="5"/>
  <c r="X448" i="5"/>
  <c r="X136" i="5"/>
  <c r="X160" i="5"/>
  <c r="X283" i="5"/>
  <c r="W524" i="5"/>
  <c r="X524" i="5"/>
  <c r="W532" i="5"/>
  <c r="X532" i="5"/>
  <c r="U540" i="5"/>
  <c r="X540" i="5"/>
  <c r="U548" i="5"/>
  <c r="X548" i="5"/>
  <c r="T556" i="5"/>
  <c r="X556" i="5"/>
  <c r="T564" i="5"/>
  <c r="X564" i="5"/>
  <c r="T579" i="5"/>
  <c r="X579" i="5"/>
  <c r="T587" i="5"/>
  <c r="X587" i="5"/>
  <c r="W595" i="5"/>
  <c r="X595" i="5"/>
  <c r="T622" i="5"/>
  <c r="X622" i="5"/>
  <c r="T630" i="5"/>
  <c r="X630" i="5"/>
  <c r="V638" i="5"/>
  <c r="X638" i="5"/>
  <c r="V646" i="5"/>
  <c r="X646" i="5"/>
  <c r="V654" i="5"/>
  <c r="X654" i="5"/>
  <c r="U662" i="5"/>
  <c r="X662" i="5"/>
  <c r="U678" i="5"/>
  <c r="X678" i="5"/>
  <c r="U686" i="5"/>
  <c r="X686" i="5"/>
  <c r="U694" i="5"/>
  <c r="X694" i="5"/>
  <c r="X216" i="5"/>
  <c r="X180" i="5"/>
  <c r="X110" i="5"/>
  <c r="X222" i="5"/>
  <c r="X53" i="5"/>
  <c r="X281" i="5"/>
  <c r="X352" i="5"/>
  <c r="X3" i="5"/>
  <c r="X184" i="5"/>
  <c r="X329" i="5"/>
  <c r="X105" i="5"/>
  <c r="X95" i="5"/>
  <c r="X274" i="5"/>
  <c r="X278" i="5"/>
  <c r="X64" i="5"/>
  <c r="X130" i="5"/>
  <c r="X304" i="5"/>
  <c r="X312" i="5"/>
  <c r="U483" i="5"/>
  <c r="X483" i="5"/>
  <c r="X367" i="5"/>
  <c r="X122" i="5"/>
  <c r="X244" i="5"/>
  <c r="T356" i="5"/>
  <c r="X356" i="5"/>
  <c r="T361" i="5"/>
  <c r="X361" i="5"/>
  <c r="T362" i="5"/>
  <c r="X362" i="5"/>
  <c r="X408" i="5"/>
  <c r="X36" i="5"/>
  <c r="X233" i="5"/>
  <c r="X146" i="5"/>
  <c r="X232" i="5"/>
  <c r="X376" i="5"/>
  <c r="X269" i="5"/>
  <c r="X247" i="5"/>
  <c r="X238" i="5"/>
  <c r="X29" i="5"/>
  <c r="X403" i="5"/>
  <c r="X445" i="5"/>
  <c r="X428" i="5"/>
  <c r="X34" i="5"/>
  <c r="X70" i="5"/>
  <c r="X373" i="5"/>
  <c r="W513" i="5"/>
  <c r="X513" i="5"/>
  <c r="W521" i="5"/>
  <c r="X521" i="5"/>
  <c r="V529" i="5"/>
  <c r="X529" i="5"/>
  <c r="W537" i="5"/>
  <c r="X537" i="5"/>
  <c r="T545" i="5"/>
  <c r="X545" i="5"/>
  <c r="W553" i="5"/>
  <c r="X553" i="5"/>
  <c r="U569" i="5"/>
  <c r="X569" i="5"/>
  <c r="U576" i="5"/>
  <c r="X576" i="5"/>
  <c r="T584" i="5"/>
  <c r="X584" i="5"/>
  <c r="U592" i="5"/>
  <c r="X592" i="5"/>
  <c r="W603" i="5"/>
  <c r="X603" i="5"/>
  <c r="T611" i="5"/>
  <c r="X611" i="5"/>
  <c r="W627" i="5"/>
  <c r="X627" i="5"/>
  <c r="V651" i="5"/>
  <c r="X651" i="5"/>
  <c r="W659" i="5"/>
  <c r="X659" i="5"/>
  <c r="V667" i="5"/>
  <c r="X667" i="5"/>
  <c r="W675" i="5"/>
  <c r="X675" i="5"/>
  <c r="W683" i="5"/>
  <c r="X683" i="5"/>
  <c r="W691" i="5"/>
  <c r="X691" i="5"/>
  <c r="X16" i="5"/>
  <c r="X344" i="5"/>
  <c r="X226" i="5"/>
  <c r="X346" i="5"/>
  <c r="X48" i="5"/>
  <c r="X179" i="5"/>
  <c r="X119" i="5"/>
  <c r="X347" i="5"/>
  <c r="X194" i="5"/>
  <c r="U357" i="5"/>
  <c r="X357" i="5"/>
  <c r="X248" i="5"/>
  <c r="X420" i="5"/>
  <c r="T489" i="5"/>
  <c r="X489" i="5"/>
  <c r="X393" i="5"/>
  <c r="X44" i="5"/>
  <c r="X437" i="5"/>
  <c r="X397" i="5"/>
  <c r="U481" i="5"/>
  <c r="X481" i="5"/>
  <c r="X334" i="5"/>
  <c r="X227" i="5"/>
  <c r="X52" i="5"/>
  <c r="X342" i="5"/>
  <c r="X288" i="5"/>
  <c r="X191" i="5"/>
  <c r="X280" i="5"/>
  <c r="W518" i="5"/>
  <c r="X518" i="5"/>
  <c r="V526" i="5"/>
  <c r="X526" i="5"/>
  <c r="T534" i="5"/>
  <c r="X534" i="5"/>
  <c r="T542" i="5"/>
  <c r="X542" i="5"/>
  <c r="T550" i="5"/>
  <c r="X550" i="5"/>
  <c r="T558" i="5"/>
  <c r="X558" i="5"/>
  <c r="V566" i="5"/>
  <c r="X566" i="5"/>
  <c r="T574" i="5"/>
  <c r="X574" i="5"/>
  <c r="T589" i="5"/>
  <c r="X589" i="5"/>
  <c r="W600" i="5"/>
  <c r="X600" i="5"/>
  <c r="W608" i="5"/>
  <c r="X608" i="5"/>
  <c r="V624" i="5"/>
  <c r="X624" i="5"/>
  <c r="V632" i="5"/>
  <c r="X632" i="5"/>
  <c r="V640" i="5"/>
  <c r="X640" i="5"/>
  <c r="W648" i="5"/>
  <c r="X648" i="5"/>
  <c r="W656" i="5"/>
  <c r="X656" i="5"/>
  <c r="V680" i="5"/>
  <c r="X680" i="5"/>
  <c r="W688" i="5"/>
  <c r="X688" i="5"/>
  <c r="X131" i="5"/>
  <c r="X50" i="5"/>
  <c r="T491" i="5"/>
  <c r="X491" i="5"/>
  <c r="X215" i="5"/>
  <c r="X427" i="5"/>
  <c r="X365" i="5"/>
  <c r="X190" i="5"/>
  <c r="X79" i="5"/>
  <c r="X335" i="5"/>
  <c r="U479" i="5"/>
  <c r="X479" i="5"/>
  <c r="X12" i="5"/>
  <c r="X145" i="5"/>
  <c r="X192" i="5"/>
  <c r="X135" i="5"/>
  <c r="X451" i="5"/>
  <c r="X370" i="5"/>
  <c r="U255" i="5"/>
  <c r="X255" i="5"/>
  <c r="X38" i="5"/>
  <c r="X67" i="5"/>
  <c r="X183" i="5"/>
  <c r="X94" i="5"/>
  <c r="X327" i="5"/>
  <c r="W354" i="5"/>
  <c r="X354" i="5"/>
  <c r="X24" i="5"/>
  <c r="X81" i="5"/>
  <c r="X411" i="5"/>
  <c r="X68" i="5"/>
  <c r="X337" i="5"/>
  <c r="X263" i="5"/>
  <c r="T474" i="5"/>
  <c r="X474" i="5"/>
  <c r="T358" i="5"/>
  <c r="X358" i="5"/>
  <c r="T355" i="5"/>
  <c r="X355" i="5"/>
  <c r="X250" i="5"/>
  <c r="X181" i="5"/>
  <c r="X399" i="5"/>
  <c r="X434" i="5"/>
  <c r="U468" i="5"/>
  <c r="X468" i="5"/>
  <c r="X82" i="5"/>
  <c r="X267" i="5"/>
  <c r="X198" i="5"/>
  <c r="X175" i="5"/>
  <c r="X143" i="5"/>
  <c r="X76" i="5"/>
  <c r="X18" i="5"/>
  <c r="X277" i="5"/>
  <c r="X305" i="5"/>
  <c r="U523" i="5"/>
  <c r="X523" i="5"/>
  <c r="W531" i="5"/>
  <c r="X531" i="5"/>
  <c r="U539" i="5"/>
  <c r="X539" i="5"/>
  <c r="U563" i="5"/>
  <c r="X563" i="5"/>
  <c r="V586" i="5"/>
  <c r="X586" i="5"/>
  <c r="U605" i="5"/>
  <c r="X605" i="5"/>
  <c r="W613" i="5"/>
  <c r="X613" i="5"/>
  <c r="V621" i="5"/>
  <c r="X621" i="5"/>
  <c r="V629" i="5"/>
  <c r="X629" i="5"/>
  <c r="V637" i="5"/>
  <c r="X637" i="5"/>
  <c r="W645" i="5"/>
  <c r="X645" i="5"/>
  <c r="V653" i="5"/>
  <c r="X653" i="5"/>
  <c r="V661" i="5"/>
  <c r="X661" i="5"/>
  <c r="W669" i="5"/>
  <c r="X669" i="5"/>
  <c r="V677" i="5"/>
  <c r="X677" i="5"/>
  <c r="W685" i="5"/>
  <c r="X685" i="5"/>
  <c r="W693" i="5"/>
  <c r="X693" i="5"/>
  <c r="X167" i="5"/>
  <c r="X264" i="5"/>
  <c r="X103" i="5"/>
  <c r="X93" i="5"/>
  <c r="X300" i="5"/>
  <c r="X123" i="5"/>
  <c r="X156" i="5"/>
  <c r="X99" i="5"/>
  <c r="X243" i="5"/>
  <c r="X293" i="5"/>
  <c r="X30" i="5"/>
  <c r="X57" i="5"/>
  <c r="T499" i="5"/>
  <c r="X499" i="5"/>
  <c r="X46" i="5"/>
  <c r="X165" i="5"/>
  <c r="T460" i="5"/>
  <c r="X460" i="5"/>
  <c r="X155" i="5"/>
  <c r="X88" i="5"/>
  <c r="X279" i="5"/>
  <c r="X292" i="5"/>
  <c r="X432" i="5"/>
  <c r="U473" i="5"/>
  <c r="X473" i="5"/>
  <c r="X211" i="5"/>
  <c r="X116" i="5"/>
  <c r="X275" i="5"/>
  <c r="X89" i="5"/>
  <c r="X223" i="5"/>
  <c r="X49" i="5"/>
  <c r="X266" i="5"/>
  <c r="X450" i="5"/>
  <c r="X289" i="5"/>
  <c r="X41" i="5"/>
  <c r="X172" i="5"/>
  <c r="X424" i="5"/>
  <c r="X71" i="5"/>
  <c r="X221" i="5"/>
  <c r="X423" i="5"/>
  <c r="X121" i="5"/>
  <c r="X307" i="5"/>
  <c r="X132" i="5"/>
  <c r="X341" i="5"/>
  <c r="T502" i="5"/>
  <c r="X502" i="5"/>
  <c r="X19" i="5"/>
  <c r="X59" i="5"/>
  <c r="X412" i="5"/>
  <c r="X438" i="5"/>
  <c r="T508" i="5"/>
  <c r="X508" i="5"/>
  <c r="X182" i="5"/>
  <c r="X2" i="5"/>
  <c r="T493" i="5"/>
  <c r="X493" i="5"/>
  <c r="X218" i="5"/>
  <c r="X186" i="5"/>
  <c r="X170" i="5"/>
  <c r="X104" i="5"/>
  <c r="X126" i="5"/>
  <c r="X296" i="5"/>
  <c r="X374" i="5"/>
  <c r="X140" i="5"/>
  <c r="X6" i="5"/>
  <c r="X62" i="5"/>
  <c r="X224" i="5"/>
  <c r="X163" i="5"/>
  <c r="X303" i="5"/>
  <c r="U480" i="5"/>
  <c r="X480" i="5"/>
  <c r="X364" i="5"/>
  <c r="X92" i="5"/>
  <c r="X324" i="5"/>
  <c r="X229" i="5"/>
  <c r="X28" i="5"/>
  <c r="X398" i="5"/>
  <c r="X161" i="5"/>
  <c r="X168" i="5"/>
  <c r="X353" i="5"/>
  <c r="X384" i="5"/>
  <c r="X381" i="5"/>
  <c r="X333" i="5"/>
  <c r="T464" i="5"/>
  <c r="X464" i="5"/>
  <c r="X27" i="5"/>
  <c r="X22" i="5"/>
  <c r="X159" i="5"/>
  <c r="X45" i="5"/>
  <c r="X331" i="5"/>
  <c r="X149" i="5"/>
  <c r="X246" i="5"/>
  <c r="X295" i="5"/>
  <c r="X349" i="5"/>
  <c r="W512" i="5"/>
  <c r="X512" i="5"/>
  <c r="V520" i="5"/>
  <c r="X520" i="5"/>
  <c r="T528" i="5"/>
  <c r="X528" i="5"/>
  <c r="V552" i="5"/>
  <c r="X552" i="5"/>
  <c r="T560" i="5"/>
  <c r="X560" i="5"/>
  <c r="T568" i="5"/>
  <c r="X568" i="5"/>
  <c r="T256" i="5"/>
  <c r="X256" i="5"/>
  <c r="U583" i="5"/>
  <c r="X583" i="5"/>
  <c r="T591" i="5"/>
  <c r="X591" i="5"/>
  <c r="T599" i="5"/>
  <c r="X599" i="5"/>
  <c r="T610" i="5"/>
  <c r="X610" i="5"/>
  <c r="V626" i="5"/>
  <c r="X626" i="5"/>
  <c r="V642" i="5"/>
  <c r="X642" i="5"/>
  <c r="V650" i="5"/>
  <c r="X650" i="5"/>
  <c r="V658" i="5"/>
  <c r="X658" i="5"/>
  <c r="V666" i="5"/>
  <c r="X666" i="5"/>
  <c r="U682" i="5"/>
  <c r="X682" i="5"/>
  <c r="U690" i="5"/>
  <c r="X690" i="5"/>
  <c r="X339" i="5"/>
  <c r="X204" i="5"/>
  <c r="X158" i="5"/>
  <c r="T253" i="5"/>
  <c r="X253" i="5"/>
  <c r="X436" i="5"/>
  <c r="X328" i="5"/>
  <c r="X80" i="5"/>
  <c r="T490" i="5"/>
  <c r="X490" i="5"/>
  <c r="X371" i="5"/>
  <c r="X139" i="5"/>
  <c r="X389" i="5"/>
  <c r="X386" i="5"/>
  <c r="W510" i="5"/>
  <c r="X510" i="5"/>
  <c r="X118" i="5"/>
  <c r="X383" i="5"/>
  <c r="X23" i="5"/>
  <c r="X129" i="5"/>
  <c r="X5" i="5"/>
  <c r="W533" i="5"/>
  <c r="X533" i="5"/>
  <c r="W549" i="5"/>
  <c r="X549" i="5"/>
  <c r="W565" i="5"/>
  <c r="X565" i="5"/>
  <c r="U588" i="5"/>
  <c r="X588" i="5"/>
  <c r="V623" i="5"/>
  <c r="X623" i="5"/>
  <c r="V631" i="5"/>
  <c r="X631" i="5"/>
  <c r="V639" i="5"/>
  <c r="X639" i="5"/>
  <c r="U647" i="5"/>
  <c r="X647" i="5"/>
  <c r="V655" i="5"/>
  <c r="X655" i="5"/>
  <c r="W663" i="5"/>
  <c r="X663" i="5"/>
  <c r="W671" i="5"/>
  <c r="X671" i="5"/>
  <c r="V679" i="5"/>
  <c r="X679" i="5"/>
  <c r="V687" i="5"/>
  <c r="X687" i="5"/>
  <c r="V695" i="5"/>
  <c r="X695" i="5"/>
  <c r="X265" i="5"/>
  <c r="X323" i="5"/>
  <c r="X127" i="5"/>
  <c r="U495" i="5"/>
  <c r="X495" i="5"/>
  <c r="X69" i="5"/>
  <c r="U497" i="5"/>
  <c r="X497" i="5"/>
  <c r="X214" i="5"/>
  <c r="X42" i="5"/>
  <c r="X402" i="5"/>
  <c r="X407" i="5"/>
  <c r="X75" i="5"/>
  <c r="X174" i="5"/>
  <c r="X426" i="5"/>
  <c r="X189" i="5"/>
  <c r="X245" i="5"/>
  <c r="X249" i="5"/>
  <c r="U457" i="5"/>
  <c r="X457" i="5"/>
  <c r="X102" i="5"/>
  <c r="V459" i="5"/>
  <c r="X459" i="5"/>
  <c r="X153" i="5"/>
  <c r="X440" i="5"/>
  <c r="X290" i="5"/>
  <c r="X210" i="5"/>
  <c r="X72" i="5"/>
  <c r="X286" i="5"/>
  <c r="X14" i="5"/>
  <c r="T505" i="5"/>
  <c r="X505" i="5"/>
  <c r="X316" i="5"/>
  <c r="X33" i="5"/>
  <c r="X380" i="5"/>
  <c r="X452" i="5"/>
  <c r="U500" i="5"/>
  <c r="X500" i="5"/>
  <c r="X217" i="5"/>
  <c r="X185" i="5"/>
  <c r="X4" i="5"/>
  <c r="X220" i="5"/>
  <c r="X422" i="5"/>
  <c r="X106" i="5"/>
  <c r="X96" i="5"/>
  <c r="X101" i="5"/>
  <c r="X308" i="5"/>
  <c r="X390" i="5"/>
  <c r="U360" i="5"/>
  <c r="X360" i="5"/>
  <c r="X66" i="5"/>
  <c r="X299" i="5"/>
  <c r="X91" i="5"/>
  <c r="X287" i="5"/>
  <c r="X86" i="5"/>
  <c r="X20" i="5"/>
  <c r="X112" i="5"/>
  <c r="X124" i="5"/>
  <c r="X409" i="5"/>
  <c r="X322" i="5"/>
  <c r="U205" i="5"/>
  <c r="X205" i="5"/>
  <c r="X40" i="5"/>
  <c r="X419" i="5"/>
  <c r="X369" i="5"/>
  <c r="T487" i="5"/>
  <c r="X487" i="5"/>
  <c r="X377" i="5"/>
  <c r="X270" i="5"/>
  <c r="X395" i="5"/>
  <c r="X151" i="5"/>
  <c r="X148" i="5"/>
  <c r="T462" i="5"/>
  <c r="X462" i="5"/>
  <c r="X435" i="5"/>
  <c r="X203" i="5"/>
  <c r="T463" i="5"/>
  <c r="X463" i="5"/>
  <c r="X394" i="5"/>
  <c r="X147" i="5"/>
  <c r="X195" i="5"/>
  <c r="X332" i="5"/>
  <c r="X309" i="5"/>
  <c r="X13" i="5"/>
  <c r="X73" i="5"/>
  <c r="V514" i="5"/>
  <c r="X514" i="5"/>
  <c r="W530" i="5"/>
  <c r="X530" i="5"/>
  <c r="W538" i="5"/>
  <c r="X538" i="5"/>
  <c r="V546" i="5"/>
  <c r="X546" i="5"/>
  <c r="U554" i="5"/>
  <c r="X554" i="5"/>
  <c r="T562" i="5"/>
  <c r="X562" i="5"/>
  <c r="T577" i="5"/>
  <c r="X577" i="5"/>
  <c r="V585" i="5"/>
  <c r="X585" i="5"/>
  <c r="W593" i="5"/>
  <c r="X593" i="5"/>
  <c r="V604" i="5"/>
  <c r="X604" i="5"/>
  <c r="V612" i="5"/>
  <c r="X612" i="5"/>
  <c r="W620" i="5"/>
  <c r="X620" i="5"/>
  <c r="U628" i="5"/>
  <c r="X628" i="5"/>
  <c r="U644" i="5"/>
  <c r="X644" i="5"/>
  <c r="U660" i="5"/>
  <c r="X660" i="5"/>
  <c r="U676" i="5"/>
  <c r="X676" i="5"/>
  <c r="V684" i="5"/>
  <c r="X684" i="5"/>
  <c r="T503" i="5"/>
  <c r="T501" i="5"/>
  <c r="V494" i="5"/>
  <c r="V905" i="5"/>
  <c r="U253" i="5"/>
  <c r="P507" i="5"/>
  <c r="W911" i="5"/>
  <c r="O805" i="5"/>
  <c r="W786" i="5"/>
  <c r="W476" i="5"/>
  <c r="O675" i="5"/>
  <c r="P498" i="5"/>
  <c r="P763" i="5"/>
  <c r="O883" i="5"/>
  <c r="P877" i="5"/>
  <c r="P480" i="5"/>
  <c r="W489" i="5"/>
  <c r="T838" i="5"/>
  <c r="N883" i="5"/>
  <c r="T563" i="5"/>
  <c r="U574" i="5"/>
  <c r="V574" i="5"/>
  <c r="O354" i="5"/>
  <c r="N460" i="5"/>
  <c r="N690" i="5"/>
  <c r="N865" i="5"/>
  <c r="V1049" i="5"/>
  <c r="V475" i="5"/>
  <c r="V575" i="5"/>
  <c r="O696" i="5"/>
  <c r="O865" i="5"/>
  <c r="W812" i="5"/>
  <c r="W875" i="5"/>
  <c r="V937" i="5"/>
  <c r="W851" i="5"/>
  <c r="T874" i="5"/>
  <c r="T521" i="5"/>
  <c r="W535" i="5"/>
  <c r="V538" i="5"/>
  <c r="U617" i="5"/>
  <c r="O698" i="5"/>
  <c r="P701" i="5"/>
  <c r="O712" i="5"/>
  <c r="P731" i="5"/>
  <c r="U743" i="5"/>
  <c r="W842" i="5"/>
  <c r="W874" i="5"/>
  <c r="P882" i="5"/>
  <c r="T912" i="5"/>
  <c r="N981" i="5"/>
  <c r="V1042" i="5"/>
  <c r="O474" i="5"/>
  <c r="P829" i="5"/>
  <c r="W850" i="5"/>
  <c r="T865" i="5"/>
  <c r="U1020" i="5"/>
  <c r="O480" i="5"/>
  <c r="V589" i="5"/>
  <c r="W638" i="5"/>
  <c r="O840" i="5"/>
  <c r="N658" i="5"/>
  <c r="O801" i="5"/>
  <c r="N891" i="5"/>
  <c r="U1022" i="5"/>
  <c r="O479" i="5"/>
  <c r="O627" i="5"/>
  <c r="N628" i="5"/>
  <c r="P773" i="5"/>
  <c r="O777" i="5"/>
  <c r="N800" i="5"/>
  <c r="T824" i="5"/>
  <c r="P838" i="5"/>
  <c r="W912" i="5"/>
  <c r="V915" i="5"/>
  <c r="V921" i="5"/>
  <c r="N931" i="5"/>
  <c r="O934" i="5"/>
  <c r="V949" i="5"/>
  <c r="W979" i="5"/>
  <c r="W523" i="5"/>
  <c r="P627" i="5"/>
  <c r="P628" i="5"/>
  <c r="P685" i="5"/>
  <c r="O688" i="5"/>
  <c r="U695" i="5"/>
  <c r="N776" i="5"/>
  <c r="P777" i="5"/>
  <c r="U792" i="5"/>
  <c r="U795" i="5"/>
  <c r="W915" i="5"/>
  <c r="W949" i="5"/>
  <c r="V998" i="5"/>
  <c r="O776" i="5"/>
  <c r="O870" i="5"/>
  <c r="U1017" i="5"/>
  <c r="U499" i="5"/>
  <c r="N463" i="5"/>
  <c r="U584" i="5"/>
  <c r="U599" i="5"/>
  <c r="N656" i="5"/>
  <c r="O684" i="5"/>
  <c r="W499" i="5"/>
  <c r="N507" i="5"/>
  <c r="U464" i="5"/>
  <c r="V564" i="5"/>
  <c r="V590" i="5"/>
  <c r="U761" i="5"/>
  <c r="U837" i="5"/>
  <c r="N354" i="5"/>
  <c r="U490" i="5"/>
  <c r="V464" i="5"/>
  <c r="W564" i="5"/>
  <c r="U589" i="5"/>
  <c r="W626" i="5"/>
  <c r="W650" i="5"/>
  <c r="U653" i="5"/>
  <c r="P655" i="5"/>
  <c r="W752" i="5"/>
  <c r="V772" i="5"/>
  <c r="P813" i="5"/>
  <c r="V877" i="5"/>
  <c r="W566" i="5"/>
  <c r="N602" i="5"/>
  <c r="O611" i="5"/>
  <c r="O710" i="5"/>
  <c r="P749" i="5"/>
  <c r="N812" i="5"/>
  <c r="T842" i="5"/>
  <c r="W909" i="5"/>
  <c r="W941" i="5"/>
  <c r="N491" i="5"/>
  <c r="O519" i="5"/>
  <c r="N528" i="5"/>
  <c r="W574" i="5"/>
  <c r="W589" i="5"/>
  <c r="W599" i="5"/>
  <c r="O923" i="5"/>
  <c r="N1003" i="5"/>
  <c r="N1015" i="5"/>
  <c r="U1023" i="5"/>
  <c r="U649" i="5"/>
  <c r="W694" i="5"/>
  <c r="P753" i="5"/>
  <c r="O759" i="5"/>
  <c r="W772" i="5"/>
  <c r="P875" i="5"/>
  <c r="W935" i="5"/>
  <c r="P940" i="5"/>
  <c r="O963" i="5"/>
  <c r="U997" i="5"/>
  <c r="V1006" i="5"/>
  <c r="V1036" i="5"/>
  <c r="V531" i="5"/>
  <c r="U534" i="5"/>
  <c r="W546" i="5"/>
  <c r="W591" i="5"/>
  <c r="U609" i="5"/>
  <c r="N611" i="5"/>
  <c r="T621" i="5"/>
  <c r="V648" i="5"/>
  <c r="O663" i="5"/>
  <c r="U681" i="5"/>
  <c r="U731" i="5"/>
  <c r="T817" i="5"/>
  <c r="W826" i="5"/>
  <c r="U941" i="5"/>
  <c r="O493" i="5"/>
  <c r="V506" i="5"/>
  <c r="T506" i="5"/>
  <c r="P493" i="5"/>
  <c r="W506" i="5"/>
  <c r="P206" i="5"/>
  <c r="N206" i="5"/>
  <c r="U458" i="5"/>
  <c r="W458" i="5"/>
  <c r="W188" i="5"/>
  <c r="U188" i="5"/>
  <c r="P458" i="5"/>
  <c r="N458" i="5"/>
  <c r="T513" i="5"/>
  <c r="P518" i="5"/>
  <c r="W556" i="5"/>
  <c r="N579" i="5"/>
  <c r="U591" i="5"/>
  <c r="U613" i="5"/>
  <c r="O647" i="5"/>
  <c r="O665" i="5"/>
  <c r="U667" i="5"/>
  <c r="O669" i="5"/>
  <c r="O693" i="5"/>
  <c r="N694" i="5"/>
  <c r="O695" i="5"/>
  <c r="O761" i="5"/>
  <c r="U868" i="5"/>
  <c r="T904" i="5"/>
  <c r="T948" i="5"/>
  <c r="V983" i="5"/>
  <c r="O330" i="5"/>
  <c r="U542" i="5"/>
  <c r="N554" i="5"/>
  <c r="W560" i="5"/>
  <c r="N567" i="5"/>
  <c r="O579" i="5"/>
  <c r="P675" i="5"/>
  <c r="P689" i="5"/>
  <c r="P693" i="5"/>
  <c r="O694" i="5"/>
  <c r="P695" i="5"/>
  <c r="N702" i="5"/>
  <c r="P705" i="5"/>
  <c r="N718" i="5"/>
  <c r="P761" i="5"/>
  <c r="T773" i="5"/>
  <c r="N780" i="5"/>
  <c r="O781" i="5"/>
  <c r="P805" i="5"/>
  <c r="V829" i="5"/>
  <c r="N845" i="5"/>
  <c r="O902" i="5"/>
  <c r="W904" i="5"/>
  <c r="O918" i="5"/>
  <c r="O926" i="5"/>
  <c r="T934" i="5"/>
  <c r="V1008" i="5"/>
  <c r="P330" i="5"/>
  <c r="O521" i="5"/>
  <c r="P554" i="5"/>
  <c r="O567" i="5"/>
  <c r="N610" i="5"/>
  <c r="N660" i="5"/>
  <c r="U679" i="5"/>
  <c r="O681" i="5"/>
  <c r="P780" i="5"/>
  <c r="U796" i="5"/>
  <c r="P866" i="5"/>
  <c r="P902" i="5"/>
  <c r="P918" i="5"/>
  <c r="O943" i="5"/>
  <c r="V947" i="5"/>
  <c r="N963" i="5"/>
  <c r="W969" i="5"/>
  <c r="U991" i="5"/>
  <c r="N993" i="5"/>
  <c r="U1021" i="5"/>
  <c r="V1025" i="5"/>
  <c r="W1041" i="5"/>
  <c r="V1045" i="5"/>
  <c r="V1021" i="5"/>
  <c r="N1027" i="5"/>
  <c r="V490" i="5"/>
  <c r="O524" i="5"/>
  <c r="O528" i="5"/>
  <c r="T533" i="5"/>
  <c r="V534" i="5"/>
  <c r="N543" i="5"/>
  <c r="U558" i="5"/>
  <c r="U562" i="5"/>
  <c r="N586" i="5"/>
  <c r="O591" i="5"/>
  <c r="U593" i="5"/>
  <c r="W601" i="5"/>
  <c r="N630" i="5"/>
  <c r="W641" i="5"/>
  <c r="P663" i="5"/>
  <c r="N684" i="5"/>
  <c r="P707" i="5"/>
  <c r="T768" i="5"/>
  <c r="V776" i="5"/>
  <c r="T777" i="5"/>
  <c r="O789" i="5"/>
  <c r="O792" i="5"/>
  <c r="P817" i="5"/>
  <c r="P830" i="5"/>
  <c r="P834" i="5"/>
  <c r="V853" i="5"/>
  <c r="P861" i="5"/>
  <c r="T873" i="5"/>
  <c r="U883" i="5"/>
  <c r="O894" i="5"/>
  <c r="O931" i="5"/>
  <c r="P962" i="5"/>
  <c r="P973" i="5"/>
  <c r="V977" i="5"/>
  <c r="N999" i="5"/>
  <c r="U1016" i="5"/>
  <c r="O1027" i="5"/>
  <c r="U1044" i="5"/>
  <c r="P524" i="5"/>
  <c r="U533" i="5"/>
  <c r="N539" i="5"/>
  <c r="N542" i="5"/>
  <c r="W558" i="5"/>
  <c r="N560" i="5"/>
  <c r="W562" i="5"/>
  <c r="N595" i="5"/>
  <c r="W611" i="5"/>
  <c r="O630" i="5"/>
  <c r="U745" i="5"/>
  <c r="N766" i="5"/>
  <c r="N796" i="5"/>
  <c r="T811" i="5"/>
  <c r="N820" i="5"/>
  <c r="O821" i="5"/>
  <c r="N833" i="5"/>
  <c r="U851" i="5"/>
  <c r="T852" i="5"/>
  <c r="W853" i="5"/>
  <c r="U873" i="5"/>
  <c r="U901" i="5"/>
  <c r="U909" i="5"/>
  <c r="T910" i="5"/>
  <c r="T932" i="5"/>
  <c r="T936" i="5"/>
  <c r="N966" i="5"/>
  <c r="V981" i="5"/>
  <c r="W1003" i="5"/>
  <c r="V1016" i="5"/>
  <c r="N1035" i="5"/>
  <c r="T360" i="5"/>
  <c r="O552" i="5"/>
  <c r="W579" i="5"/>
  <c r="P595" i="5"/>
  <c r="P639" i="5"/>
  <c r="P683" i="5"/>
  <c r="P713" i="5"/>
  <c r="W726" i="5"/>
  <c r="O731" i="5"/>
  <c r="P766" i="5"/>
  <c r="O796" i="5"/>
  <c r="O809" i="5"/>
  <c r="O820" i="5"/>
  <c r="P821" i="5"/>
  <c r="T826" i="5"/>
  <c r="O833" i="5"/>
  <c r="O838" i="5"/>
  <c r="T850" i="5"/>
  <c r="V851" i="5"/>
  <c r="U852" i="5"/>
  <c r="O871" i="5"/>
  <c r="O893" i="5"/>
  <c r="V901" i="5"/>
  <c r="V909" i="5"/>
  <c r="U949" i="5"/>
  <c r="T950" i="5"/>
  <c r="P952" i="5"/>
  <c r="P955" i="5"/>
  <c r="N961" i="5"/>
  <c r="P966" i="5"/>
  <c r="V980" i="5"/>
  <c r="O1035" i="5"/>
  <c r="U1043" i="5"/>
  <c r="R246" i="3"/>
  <c r="R243" i="3"/>
  <c r="T497" i="5"/>
  <c r="U477" i="5"/>
  <c r="T507" i="5"/>
  <c r="W507" i="5"/>
  <c r="V507" i="5"/>
  <c r="U355" i="5"/>
  <c r="T468" i="5"/>
  <c r="P511" i="5"/>
  <c r="O511" i="5"/>
  <c r="W525" i="5"/>
  <c r="U525" i="5"/>
  <c r="T525" i="5"/>
  <c r="T570" i="5"/>
  <c r="W570" i="5"/>
  <c r="V570" i="5"/>
  <c r="W573" i="5"/>
  <c r="U573" i="5"/>
  <c r="T573" i="5"/>
  <c r="T597" i="5"/>
  <c r="W597" i="5"/>
  <c r="V597" i="5"/>
  <c r="U927" i="5"/>
  <c r="W927" i="5"/>
  <c r="P1039" i="5"/>
  <c r="N1039" i="5"/>
  <c r="O492" i="5"/>
  <c r="P492" i="5"/>
  <c r="N360" i="5"/>
  <c r="N459" i="5"/>
  <c r="U469" i="5"/>
  <c r="W469" i="5"/>
  <c r="U478" i="5"/>
  <c r="W478" i="5"/>
  <c r="W355" i="5"/>
  <c r="W468" i="5"/>
  <c r="N697" i="5"/>
  <c r="P697" i="5"/>
  <c r="V819" i="5"/>
  <c r="U819" i="5"/>
  <c r="T819" i="5"/>
  <c r="P849" i="5"/>
  <c r="N849" i="5"/>
  <c r="O849" i="5"/>
  <c r="V870" i="5"/>
  <c r="T870" i="5"/>
  <c r="T923" i="5"/>
  <c r="V923" i="5"/>
  <c r="W923" i="5"/>
  <c r="O360" i="5"/>
  <c r="O459" i="5"/>
  <c r="T470" i="5"/>
  <c r="W470" i="5"/>
  <c r="T516" i="5"/>
  <c r="W516" i="5"/>
  <c r="T536" i="5"/>
  <c r="W536" i="5"/>
  <c r="P537" i="5"/>
  <c r="O537" i="5"/>
  <c r="U547" i="5"/>
  <c r="V547" i="5"/>
  <c r="T547" i="5"/>
  <c r="U578" i="5"/>
  <c r="V578" i="5"/>
  <c r="T578" i="5"/>
  <c r="P666" i="5"/>
  <c r="N666" i="5"/>
  <c r="P478" i="5"/>
  <c r="N478" i="5"/>
  <c r="P544" i="5"/>
  <c r="O544" i="5"/>
  <c r="W1024" i="5"/>
  <c r="V1024" i="5"/>
  <c r="U1024" i="5"/>
  <c r="O494" i="5"/>
  <c r="U491" i="5"/>
  <c r="O458" i="5"/>
  <c r="U460" i="5"/>
  <c r="P469" i="5"/>
  <c r="O469" i="5"/>
  <c r="U487" i="5"/>
  <c r="V487" i="5"/>
  <c r="T479" i="5"/>
  <c r="P516" i="5"/>
  <c r="N516" i="5"/>
  <c r="P536" i="5"/>
  <c r="O536" i="5"/>
  <c r="N536" i="5"/>
  <c r="O550" i="5"/>
  <c r="P550" i="5"/>
  <c r="T917" i="5"/>
  <c r="V917" i="5"/>
  <c r="P494" i="5"/>
  <c r="U505" i="5"/>
  <c r="V491" i="5"/>
  <c r="U359" i="5"/>
  <c r="V473" i="5"/>
  <c r="U254" i="5"/>
  <c r="U485" i="5"/>
  <c r="W479" i="5"/>
  <c r="P468" i="5"/>
  <c r="N468" i="5"/>
  <c r="N556" i="5"/>
  <c r="P556" i="5"/>
  <c r="O556" i="5"/>
  <c r="U570" i="5"/>
  <c r="P572" i="5"/>
  <c r="O572" i="5"/>
  <c r="N572" i="5"/>
  <c r="U597" i="5"/>
  <c r="T603" i="5"/>
  <c r="U603" i="5"/>
  <c r="V359" i="5"/>
  <c r="W473" i="5"/>
  <c r="T461" i="5"/>
  <c r="V461" i="5"/>
  <c r="P512" i="5"/>
  <c r="O512" i="5"/>
  <c r="T522" i="5"/>
  <c r="V522" i="5"/>
  <c r="U522" i="5"/>
  <c r="W541" i="5"/>
  <c r="T541" i="5"/>
  <c r="U555" i="5"/>
  <c r="W555" i="5"/>
  <c r="T555" i="5"/>
  <c r="U571" i="5"/>
  <c r="W571" i="5"/>
  <c r="T571" i="5"/>
  <c r="V505" i="5"/>
  <c r="O506" i="5"/>
  <c r="O502" i="5"/>
  <c r="U503" i="5"/>
  <c r="V499" i="5"/>
  <c r="W360" i="5"/>
  <c r="T354" i="5"/>
  <c r="O472" i="5"/>
  <c r="N479" i="5"/>
  <c r="U470" i="5"/>
  <c r="N486" i="5"/>
  <c r="O526" i="5"/>
  <c r="P526" i="5"/>
  <c r="N526" i="5"/>
  <c r="V536" i="5"/>
  <c r="U567" i="5"/>
  <c r="T567" i="5"/>
  <c r="U594" i="5"/>
  <c r="V594" i="5"/>
  <c r="T594" i="5"/>
  <c r="U602" i="5"/>
  <c r="V602" i="5"/>
  <c r="T602" i="5"/>
  <c r="O523" i="5"/>
  <c r="N532" i="5"/>
  <c r="T535" i="5"/>
  <c r="T539" i="5"/>
  <c r="O543" i="5"/>
  <c r="V559" i="5"/>
  <c r="W561" i="5"/>
  <c r="T561" i="5"/>
  <c r="T593" i="5"/>
  <c r="V593" i="5"/>
  <c r="U598" i="5"/>
  <c r="W598" i="5"/>
  <c r="N644" i="5"/>
  <c r="P706" i="5"/>
  <c r="N706" i="5"/>
  <c r="P788" i="5"/>
  <c r="N788" i="5"/>
  <c r="O788" i="5"/>
  <c r="N806" i="5"/>
  <c r="O806" i="5"/>
  <c r="V859" i="5"/>
  <c r="W859" i="5"/>
  <c r="T1007" i="5"/>
  <c r="V1007" i="5"/>
  <c r="P1011" i="5"/>
  <c r="N1011" i="5"/>
  <c r="P583" i="5"/>
  <c r="O583" i="5"/>
  <c r="N583" i="5"/>
  <c r="T607" i="5"/>
  <c r="W607" i="5"/>
  <c r="V607" i="5"/>
  <c r="V615" i="5"/>
  <c r="U615" i="5"/>
  <c r="T618" i="5"/>
  <c r="W618" i="5"/>
  <c r="W636" i="5"/>
  <c r="V636" i="5"/>
  <c r="V926" i="5"/>
  <c r="T926" i="5"/>
  <c r="W926" i="5"/>
  <c r="P1051" i="5"/>
  <c r="N1051" i="5"/>
  <c r="V528" i="5"/>
  <c r="T546" i="5"/>
  <c r="U546" i="5"/>
  <c r="U586" i="5"/>
  <c r="T586" i="5"/>
  <c r="T601" i="5"/>
  <c r="U601" i="5"/>
  <c r="U606" i="5"/>
  <c r="W606" i="5"/>
  <c r="V606" i="5"/>
  <c r="U622" i="5"/>
  <c r="V635" i="5"/>
  <c r="T635" i="5"/>
  <c r="N751" i="5"/>
  <c r="O751" i="5"/>
  <c r="P751" i="5"/>
  <c r="N862" i="5"/>
  <c r="P862" i="5"/>
  <c r="V925" i="5"/>
  <c r="W925" i="5"/>
  <c r="N519" i="5"/>
  <c r="T523" i="5"/>
  <c r="W528" i="5"/>
  <c r="U532" i="5"/>
  <c r="O539" i="5"/>
  <c r="V542" i="5"/>
  <c r="W543" i="5"/>
  <c r="N547" i="5"/>
  <c r="N552" i="5"/>
  <c r="O553" i="5"/>
  <c r="T585" i="5"/>
  <c r="U585" i="5"/>
  <c r="V622" i="5"/>
  <c r="N671" i="5"/>
  <c r="P671" i="5"/>
  <c r="N711" i="5"/>
  <c r="O711" i="5"/>
  <c r="P711" i="5"/>
  <c r="T999" i="5"/>
  <c r="V999" i="5"/>
  <c r="N564" i="5"/>
  <c r="P571" i="5"/>
  <c r="N571" i="5"/>
  <c r="V579" i="5"/>
  <c r="T595" i="5"/>
  <c r="U595" i="5"/>
  <c r="T605" i="5"/>
  <c r="W605" i="5"/>
  <c r="V605" i="5"/>
  <c r="W622" i="5"/>
  <c r="P939" i="5"/>
  <c r="N939" i="5"/>
  <c r="O939" i="5"/>
  <c r="O558" i="5"/>
  <c r="P558" i="5"/>
  <c r="U607" i="5"/>
  <c r="V619" i="5"/>
  <c r="W619" i="5"/>
  <c r="T619" i="5"/>
  <c r="N677" i="5"/>
  <c r="O677" i="5"/>
  <c r="V896" i="5"/>
  <c r="T896" i="5"/>
  <c r="N908" i="5"/>
  <c r="P908" i="5"/>
  <c r="O959" i="5"/>
  <c r="P959" i="5"/>
  <c r="O701" i="5"/>
  <c r="O705" i="5"/>
  <c r="N710" i="5"/>
  <c r="O749" i="5"/>
  <c r="O763" i="5"/>
  <c r="V769" i="5"/>
  <c r="T814" i="5"/>
  <c r="O834" i="5"/>
  <c r="U853" i="5"/>
  <c r="T854" i="5"/>
  <c r="O861" i="5"/>
  <c r="W865" i="5"/>
  <c r="W869" i="5"/>
  <c r="U905" i="5"/>
  <c r="W922" i="5"/>
  <c r="T924" i="5"/>
  <c r="V941" i="5"/>
  <c r="T942" i="5"/>
  <c r="U977" i="5"/>
  <c r="N700" i="5"/>
  <c r="O709" i="5"/>
  <c r="W973" i="5"/>
  <c r="N975" i="5"/>
  <c r="V987" i="5"/>
  <c r="W1005" i="5"/>
  <c r="V1041" i="5"/>
  <c r="U1047" i="5"/>
  <c r="T588" i="5"/>
  <c r="V620" i="5"/>
  <c r="T660" i="5"/>
  <c r="T779" i="5"/>
  <c r="T857" i="5"/>
  <c r="T898" i="5"/>
  <c r="T903" i="5"/>
  <c r="T914" i="5"/>
  <c r="W920" i="5"/>
  <c r="V933" i="5"/>
  <c r="U945" i="5"/>
  <c r="T946" i="5"/>
  <c r="U995" i="5"/>
  <c r="U1040" i="5"/>
  <c r="N591" i="5"/>
  <c r="O639" i="5"/>
  <c r="W644" i="5"/>
  <c r="W660" i="5"/>
  <c r="N668" i="5"/>
  <c r="P669" i="5"/>
  <c r="O673" i="5"/>
  <c r="N674" i="5"/>
  <c r="W677" i="5"/>
  <c r="O687" i="5"/>
  <c r="O699" i="5"/>
  <c r="U711" i="5"/>
  <c r="O714" i="5"/>
  <c r="U751" i="5"/>
  <c r="O775" i="5"/>
  <c r="U787" i="5"/>
  <c r="O800" i="5"/>
  <c r="T806" i="5"/>
  <c r="P809" i="5"/>
  <c r="O831" i="5"/>
  <c r="U835" i="5"/>
  <c r="T849" i="5"/>
  <c r="T856" i="5"/>
  <c r="P870" i="5"/>
  <c r="T872" i="5"/>
  <c r="W898" i="5"/>
  <c r="P906" i="5"/>
  <c r="U913" i="5"/>
  <c r="W914" i="5"/>
  <c r="P923" i="5"/>
  <c r="P924" i="5"/>
  <c r="P930" i="5"/>
  <c r="W934" i="5"/>
  <c r="P942" i="5"/>
  <c r="T944" i="5"/>
  <c r="V945" i="5"/>
  <c r="W946" i="5"/>
  <c r="N969" i="5"/>
  <c r="N973" i="5"/>
  <c r="U986" i="5"/>
  <c r="O993" i="5"/>
  <c r="W995" i="5"/>
  <c r="V1004" i="5"/>
  <c r="V1009" i="5"/>
  <c r="U1010" i="5"/>
  <c r="U1011" i="5"/>
  <c r="N1023" i="5"/>
  <c r="V1037" i="5"/>
  <c r="U1038" i="5"/>
  <c r="U1039" i="5"/>
  <c r="V1040" i="5"/>
  <c r="N1043" i="5"/>
  <c r="U1046" i="5"/>
  <c r="U1050" i="5"/>
  <c r="U1051" i="5"/>
  <c r="U651" i="5"/>
  <c r="O667" i="5"/>
  <c r="O668" i="5"/>
  <c r="P673" i="5"/>
  <c r="W676" i="5"/>
  <c r="P687" i="5"/>
  <c r="O713" i="5"/>
  <c r="O747" i="5"/>
  <c r="U749" i="5"/>
  <c r="O753" i="5"/>
  <c r="U763" i="5"/>
  <c r="N772" i="5"/>
  <c r="O773" i="5"/>
  <c r="O774" i="5"/>
  <c r="T795" i="5"/>
  <c r="W806" i="5"/>
  <c r="O813" i="5"/>
  <c r="O817" i="5"/>
  <c r="O818" i="5"/>
  <c r="O824" i="5"/>
  <c r="T827" i="5"/>
  <c r="O829" i="5"/>
  <c r="O830" i="5"/>
  <c r="P831" i="5"/>
  <c r="T834" i="5"/>
  <c r="W845" i="5"/>
  <c r="W856" i="5"/>
  <c r="V861" i="5"/>
  <c r="N875" i="5"/>
  <c r="W878" i="5"/>
  <c r="T897" i="5"/>
  <c r="V913" i="5"/>
  <c r="P936" i="5"/>
  <c r="W944" i="5"/>
  <c r="W945" i="5"/>
  <c r="P948" i="5"/>
  <c r="N953" i="5"/>
  <c r="O957" i="5"/>
  <c r="P969" i="5"/>
  <c r="V979" i="5"/>
  <c r="U981" i="5"/>
  <c r="O997" i="5"/>
  <c r="U1003" i="5"/>
  <c r="U1008" i="5"/>
  <c r="W1009" i="5"/>
  <c r="V1010" i="5"/>
  <c r="W1011" i="5"/>
  <c r="U1025" i="5"/>
  <c r="U1026" i="5"/>
  <c r="U1036" i="5"/>
  <c r="W1037" i="5"/>
  <c r="V1038" i="5"/>
  <c r="V1039" i="5"/>
  <c r="O1043" i="5"/>
  <c r="U1045" i="5"/>
  <c r="U1049" i="5"/>
  <c r="V1050" i="5"/>
  <c r="W651" i="5"/>
  <c r="U689" i="5"/>
  <c r="U727" i="5"/>
  <c r="U757" i="5"/>
  <c r="W796" i="5"/>
  <c r="T864" i="5"/>
  <c r="U869" i="5"/>
  <c r="W883" i="5"/>
  <c r="P502" i="5"/>
  <c r="V503" i="5"/>
  <c r="O475" i="5"/>
  <c r="N475" i="5"/>
  <c r="P475" i="5"/>
  <c r="T504" i="5"/>
  <c r="U504" i="5"/>
  <c r="T484" i="5"/>
  <c r="W484" i="5"/>
  <c r="U484" i="5"/>
  <c r="U724" i="5"/>
  <c r="W724" i="5"/>
  <c r="T724" i="5"/>
  <c r="V809" i="5"/>
  <c r="T809" i="5"/>
  <c r="W809" i="5"/>
  <c r="W503" i="5"/>
  <c r="W494" i="5"/>
  <c r="N498" i="5"/>
  <c r="N508" i="5"/>
  <c r="O508" i="5"/>
  <c r="T500" i="5"/>
  <c r="V500" i="5"/>
  <c r="V492" i="5"/>
  <c r="W492" i="5"/>
  <c r="T480" i="5"/>
  <c r="W480" i="5"/>
  <c r="V480" i="5"/>
  <c r="U509" i="5"/>
  <c r="W509" i="5"/>
  <c r="T509" i="5"/>
  <c r="P357" i="5"/>
  <c r="N357" i="5"/>
  <c r="O357" i="5"/>
  <c r="V504" i="5"/>
  <c r="T495" i="5"/>
  <c r="V206" i="5"/>
  <c r="T206" i="5"/>
  <c r="T457" i="5"/>
  <c r="W457" i="5"/>
  <c r="P205" i="5"/>
  <c r="N205" i="5"/>
  <c r="O205" i="5"/>
  <c r="N501" i="5"/>
  <c r="O501" i="5"/>
  <c r="T255" i="5"/>
  <c r="W255" i="5"/>
  <c r="T471" i="5"/>
  <c r="V471" i="5"/>
  <c r="U471" i="5"/>
  <c r="W471" i="5"/>
  <c r="O522" i="5"/>
  <c r="N522" i="5"/>
  <c r="O490" i="5"/>
  <c r="N490" i="5"/>
  <c r="T482" i="5"/>
  <c r="W482" i="5"/>
  <c r="U482" i="5"/>
  <c r="V482" i="5"/>
  <c r="U515" i="5"/>
  <c r="W515" i="5"/>
  <c r="T515" i="5"/>
  <c r="V515" i="5"/>
  <c r="V509" i="5"/>
  <c r="W472" i="5"/>
  <c r="V478" i="5"/>
  <c r="P358" i="5"/>
  <c r="O358" i="5"/>
  <c r="U486" i="5"/>
  <c r="T486" i="5"/>
  <c r="W463" i="5"/>
  <c r="V938" i="5"/>
  <c r="T938" i="5"/>
  <c r="W938" i="5"/>
  <c r="T483" i="5"/>
  <c r="U356" i="5"/>
  <c r="U474" i="5"/>
  <c r="P466" i="5"/>
  <c r="N466" i="5"/>
  <c r="W464" i="5"/>
  <c r="U476" i="5"/>
  <c r="T476" i="5"/>
  <c r="T510" i="5"/>
  <c r="W465" i="5"/>
  <c r="T465" i="5"/>
  <c r="U465" i="5"/>
  <c r="U519" i="5"/>
  <c r="W519" i="5"/>
  <c r="T519" i="5"/>
  <c r="T520" i="5"/>
  <c r="W520" i="5"/>
  <c r="U520" i="5"/>
  <c r="T572" i="5"/>
  <c r="W572" i="5"/>
  <c r="V572" i="5"/>
  <c r="U572" i="5"/>
  <c r="P680" i="5"/>
  <c r="O680" i="5"/>
  <c r="V483" i="5"/>
  <c r="T473" i="5"/>
  <c r="V356" i="5"/>
  <c r="N509" i="5"/>
  <c r="U361" i="5"/>
  <c r="U362" i="5"/>
  <c r="O478" i="5"/>
  <c r="V474" i="5"/>
  <c r="V253" i="5"/>
  <c r="U507" i="5"/>
  <c r="U358" i="5"/>
  <c r="W487" i="5"/>
  <c r="U489" i="5"/>
  <c r="V489" i="5"/>
  <c r="V510" i="5"/>
  <c r="T512" i="5"/>
  <c r="V512" i="5"/>
  <c r="U512" i="5"/>
  <c r="T514" i="5"/>
  <c r="W514" i="5"/>
  <c r="U514" i="5"/>
  <c r="W356" i="5"/>
  <c r="T205" i="5"/>
  <c r="O509" i="5"/>
  <c r="V361" i="5"/>
  <c r="U475" i="5"/>
  <c r="V362" i="5"/>
  <c r="N474" i="5"/>
  <c r="W474" i="5"/>
  <c r="W253" i="5"/>
  <c r="T357" i="5"/>
  <c r="V358" i="5"/>
  <c r="N482" i="5"/>
  <c r="O482" i="5"/>
  <c r="P470" i="5"/>
  <c r="O470" i="5"/>
  <c r="N470" i="5"/>
  <c r="O465" i="5"/>
  <c r="U330" i="5"/>
  <c r="V205" i="5"/>
  <c r="W361" i="5"/>
  <c r="W362" i="5"/>
  <c r="V357" i="5"/>
  <c r="W358" i="5"/>
  <c r="W467" i="5"/>
  <c r="U467" i="5"/>
  <c r="V466" i="5"/>
  <c r="O464" i="5"/>
  <c r="P464" i="5"/>
  <c r="P476" i="5"/>
  <c r="O476" i="5"/>
  <c r="O540" i="5"/>
  <c r="N540" i="5"/>
  <c r="P540" i="5"/>
  <c r="W491" i="5"/>
  <c r="V360" i="5"/>
  <c r="T458" i="5"/>
  <c r="V354" i="5"/>
  <c r="W359" i="5"/>
  <c r="W459" i="5"/>
  <c r="V460" i="5"/>
  <c r="T472" i="5"/>
  <c r="T469" i="5"/>
  <c r="V330" i="5"/>
  <c r="W205" i="5"/>
  <c r="W475" i="5"/>
  <c r="N253" i="5"/>
  <c r="W357" i="5"/>
  <c r="P487" i="5"/>
  <c r="N487" i="5"/>
  <c r="N355" i="5"/>
  <c r="P489" i="5"/>
  <c r="N489" i="5"/>
  <c r="N461" i="5"/>
  <c r="W490" i="5"/>
  <c r="N462" i="5"/>
  <c r="V486" i="5"/>
  <c r="U463" i="5"/>
  <c r="T481" i="5"/>
  <c r="W481" i="5"/>
  <c r="V481" i="5"/>
  <c r="T524" i="5"/>
  <c r="V524" i="5"/>
  <c r="U524" i="5"/>
  <c r="O538" i="5"/>
  <c r="N538" i="5"/>
  <c r="T552" i="5"/>
  <c r="W552" i="5"/>
  <c r="U552" i="5"/>
  <c r="P590" i="5"/>
  <c r="N590" i="5"/>
  <c r="O590" i="5"/>
  <c r="V616" i="5"/>
  <c r="W616" i="5"/>
  <c r="V458" i="5"/>
  <c r="W460" i="5"/>
  <c r="V472" i="5"/>
  <c r="V469" i="5"/>
  <c r="W330" i="5"/>
  <c r="N362" i="5"/>
  <c r="T478" i="5"/>
  <c r="N358" i="5"/>
  <c r="O355" i="5"/>
  <c r="P461" i="5"/>
  <c r="W488" i="5"/>
  <c r="U488" i="5"/>
  <c r="O462" i="5"/>
  <c r="U466" i="5"/>
  <c r="T466" i="5"/>
  <c r="W486" i="5"/>
  <c r="V463" i="5"/>
  <c r="T526" i="5"/>
  <c r="W526" i="5"/>
  <c r="U526" i="5"/>
  <c r="P535" i="5"/>
  <c r="O535" i="5"/>
  <c r="N535" i="5"/>
  <c r="T544" i="5"/>
  <c r="W544" i="5"/>
  <c r="V544" i="5"/>
  <c r="U544" i="5"/>
  <c r="W517" i="5"/>
  <c r="U517" i="5"/>
  <c r="T517" i="5"/>
  <c r="U527" i="5"/>
  <c r="W527" i="5"/>
  <c r="T527" i="5"/>
  <c r="W529" i="5"/>
  <c r="T529" i="5"/>
  <c r="W545" i="5"/>
  <c r="V545" i="5"/>
  <c r="W580" i="5"/>
  <c r="U580" i="5"/>
  <c r="T583" i="5"/>
  <c r="W583" i="5"/>
  <c r="V583" i="5"/>
  <c r="P598" i="5"/>
  <c r="O598" i="5"/>
  <c r="N598" i="5"/>
  <c r="N715" i="5"/>
  <c r="O715" i="5"/>
  <c r="P715" i="5"/>
  <c r="P728" i="5"/>
  <c r="O728" i="5"/>
  <c r="O867" i="5"/>
  <c r="P867" i="5"/>
  <c r="N867" i="5"/>
  <c r="P515" i="5"/>
  <c r="N515" i="5"/>
  <c r="P520" i="5"/>
  <c r="O520" i="5"/>
  <c r="N520" i="5"/>
  <c r="O548" i="5"/>
  <c r="N548" i="5"/>
  <c r="U551" i="5"/>
  <c r="V551" i="5"/>
  <c r="P256" i="5"/>
  <c r="O256" i="5"/>
  <c r="N256" i="5"/>
  <c r="P578" i="5"/>
  <c r="N578" i="5"/>
  <c r="O620" i="5"/>
  <c r="N620" i="5"/>
  <c r="P620" i="5"/>
  <c r="V627" i="5"/>
  <c r="T627" i="5"/>
  <c r="N641" i="5"/>
  <c r="O641" i="5"/>
  <c r="U652" i="5"/>
  <c r="T652" i="5"/>
  <c r="V671" i="5"/>
  <c r="U671" i="5"/>
  <c r="U672" i="5"/>
  <c r="W672" i="5"/>
  <c r="T672" i="5"/>
  <c r="V747" i="5"/>
  <c r="U747" i="5"/>
  <c r="W747" i="5"/>
  <c r="V355" i="5"/>
  <c r="U462" i="5"/>
  <c r="W462" i="5"/>
  <c r="V462" i="5"/>
  <c r="O486" i="5"/>
  <c r="P513" i="5"/>
  <c r="O513" i="5"/>
  <c r="O516" i="5"/>
  <c r="P527" i="5"/>
  <c r="O527" i="5"/>
  <c r="N527" i="5"/>
  <c r="P529" i="5"/>
  <c r="O529" i="5"/>
  <c r="U536" i="5"/>
  <c r="T540" i="5"/>
  <c r="W540" i="5"/>
  <c r="V540" i="5"/>
  <c r="P563" i="5"/>
  <c r="N563" i="5"/>
  <c r="U582" i="5"/>
  <c r="V582" i="5"/>
  <c r="N619" i="5"/>
  <c r="P619" i="5"/>
  <c r="O619" i="5"/>
  <c r="O636" i="5"/>
  <c r="P636" i="5"/>
  <c r="V643" i="5"/>
  <c r="T643" i="5"/>
  <c r="W643" i="5"/>
  <c r="V663" i="5"/>
  <c r="U663" i="5"/>
  <c r="U664" i="5"/>
  <c r="T664" i="5"/>
  <c r="V707" i="5"/>
  <c r="U707" i="5"/>
  <c r="N727" i="5"/>
  <c r="P727" i="5"/>
  <c r="O727" i="5"/>
  <c r="V803" i="5"/>
  <c r="T803" i="5"/>
  <c r="T532" i="5"/>
  <c r="V532" i="5"/>
  <c r="T538" i="5"/>
  <c r="U538" i="5"/>
  <c r="P551" i="5"/>
  <c r="O551" i="5"/>
  <c r="N551" i="5"/>
  <c r="T566" i="5"/>
  <c r="U566" i="5"/>
  <c r="O587" i="5"/>
  <c r="N587" i="5"/>
  <c r="P594" i="5"/>
  <c r="N594" i="5"/>
  <c r="N703" i="5"/>
  <c r="P703" i="5"/>
  <c r="O703" i="5"/>
  <c r="V759" i="5"/>
  <c r="U759" i="5"/>
  <c r="W759" i="5"/>
  <c r="U511" i="5"/>
  <c r="T511" i="5"/>
  <c r="W511" i="5"/>
  <c r="U531" i="5"/>
  <c r="T531" i="5"/>
  <c r="O534" i="5"/>
  <c r="P534" i="5"/>
  <c r="U559" i="5"/>
  <c r="T559" i="5"/>
  <c r="V634" i="5"/>
  <c r="W634" i="5"/>
  <c r="N635" i="5"/>
  <c r="P635" i="5"/>
  <c r="V669" i="5"/>
  <c r="U669" i="5"/>
  <c r="V670" i="5"/>
  <c r="T670" i="5"/>
  <c r="V675" i="5"/>
  <c r="U675" i="5"/>
  <c r="V685" i="5"/>
  <c r="U685" i="5"/>
  <c r="V697" i="5"/>
  <c r="U697" i="5"/>
  <c r="W697" i="5"/>
  <c r="U710" i="5"/>
  <c r="W710" i="5"/>
  <c r="P726" i="5"/>
  <c r="O726" i="5"/>
  <c r="N726" i="5"/>
  <c r="O568" i="5"/>
  <c r="N568" i="5"/>
  <c r="T581" i="5"/>
  <c r="W581" i="5"/>
  <c r="V581" i="5"/>
  <c r="U581" i="5"/>
  <c r="U668" i="5"/>
  <c r="W668" i="5"/>
  <c r="N691" i="5"/>
  <c r="P691" i="5"/>
  <c r="O691" i="5"/>
  <c r="V719" i="5"/>
  <c r="U719" i="5"/>
  <c r="W719" i="5"/>
  <c r="N511" i="5"/>
  <c r="V513" i="5"/>
  <c r="T518" i="5"/>
  <c r="V518" i="5"/>
  <c r="U518" i="5"/>
  <c r="N523" i="5"/>
  <c r="T530" i="5"/>
  <c r="V530" i="5"/>
  <c r="U530" i="5"/>
  <c r="P531" i="5"/>
  <c r="N531" i="5"/>
  <c r="T548" i="5"/>
  <c r="W548" i="5"/>
  <c r="V548" i="5"/>
  <c r="W551" i="5"/>
  <c r="T554" i="5"/>
  <c r="W554" i="5"/>
  <c r="V554" i="5"/>
  <c r="W557" i="5"/>
  <c r="T557" i="5"/>
  <c r="P559" i="5"/>
  <c r="O559" i="5"/>
  <c r="N559" i="5"/>
  <c r="V645" i="5"/>
  <c r="U645" i="5"/>
  <c r="V673" i="5"/>
  <c r="U673" i="5"/>
  <c r="U674" i="5"/>
  <c r="T674" i="5"/>
  <c r="V683" i="5"/>
  <c r="U683" i="5"/>
  <c r="P716" i="5"/>
  <c r="O716" i="5"/>
  <c r="N716" i="5"/>
  <c r="N725" i="5"/>
  <c r="O725" i="5"/>
  <c r="P725" i="5"/>
  <c r="N733" i="5"/>
  <c r="P733" i="5"/>
  <c r="O733" i="5"/>
  <c r="W778" i="5"/>
  <c r="V778" i="5"/>
  <c r="U778" i="5"/>
  <c r="N679" i="5"/>
  <c r="P679" i="5"/>
  <c r="O679" i="5"/>
  <c r="V693" i="5"/>
  <c r="U693" i="5"/>
  <c r="W695" i="5"/>
  <c r="V705" i="5"/>
  <c r="U705" i="5"/>
  <c r="U706" i="5"/>
  <c r="T706" i="5"/>
  <c r="U708" i="5"/>
  <c r="T708" i="5"/>
  <c r="V723" i="5"/>
  <c r="U723" i="5"/>
  <c r="N743" i="5"/>
  <c r="O743" i="5"/>
  <c r="N793" i="5"/>
  <c r="P793" i="5"/>
  <c r="O793" i="5"/>
  <c r="T816" i="5"/>
  <c r="U816" i="5"/>
  <c r="W889" i="5"/>
  <c r="T889" i="5"/>
  <c r="U889" i="5"/>
  <c r="V539" i="5"/>
  <c r="U560" i="5"/>
  <c r="O564" i="5"/>
  <c r="N566" i="5"/>
  <c r="V567" i="5"/>
  <c r="U577" i="5"/>
  <c r="N582" i="5"/>
  <c r="W585" i="5"/>
  <c r="W602" i="5"/>
  <c r="T615" i="5"/>
  <c r="W615" i="5"/>
  <c r="P634" i="5"/>
  <c r="N634" i="5"/>
  <c r="T638" i="5"/>
  <c r="U638" i="5"/>
  <c r="O644" i="5"/>
  <c r="W649" i="5"/>
  <c r="U655" i="5"/>
  <c r="T656" i="5"/>
  <c r="U657" i="5"/>
  <c r="T658" i="5"/>
  <c r="V660" i="5"/>
  <c r="U661" i="5"/>
  <c r="P665" i="5"/>
  <c r="O666" i="5"/>
  <c r="P667" i="5"/>
  <c r="W681" i="5"/>
  <c r="O683" i="5"/>
  <c r="O685" i="5"/>
  <c r="O697" i="5"/>
  <c r="N698" i="5"/>
  <c r="P699" i="5"/>
  <c r="O700" i="5"/>
  <c r="O707" i="5"/>
  <c r="P709" i="5"/>
  <c r="U718" i="5"/>
  <c r="T718" i="5"/>
  <c r="P732" i="5"/>
  <c r="O732" i="5"/>
  <c r="U738" i="5"/>
  <c r="W738" i="5"/>
  <c r="N739" i="5"/>
  <c r="P739" i="5"/>
  <c r="W745" i="5"/>
  <c r="U753" i="5"/>
  <c r="W763" i="5"/>
  <c r="V783" i="5"/>
  <c r="W783" i="5"/>
  <c r="T805" i="5"/>
  <c r="T808" i="5"/>
  <c r="V808" i="5"/>
  <c r="U808" i="5"/>
  <c r="V847" i="5"/>
  <c r="W847" i="5"/>
  <c r="T847" i="5"/>
  <c r="W881" i="5"/>
  <c r="U881" i="5"/>
  <c r="V886" i="5"/>
  <c r="T886" i="5"/>
  <c r="W1002" i="5"/>
  <c r="V1002" i="5"/>
  <c r="U1002" i="5"/>
  <c r="P1019" i="5"/>
  <c r="N1019" i="5"/>
  <c r="O1019" i="5"/>
  <c r="T1029" i="5"/>
  <c r="V1029" i="5"/>
  <c r="U1029" i="5"/>
  <c r="W1029" i="5"/>
  <c r="W539" i="5"/>
  <c r="W547" i="5"/>
  <c r="V555" i="5"/>
  <c r="V560" i="5"/>
  <c r="V562" i="5"/>
  <c r="P566" i="5"/>
  <c r="W567" i="5"/>
  <c r="W575" i="5"/>
  <c r="U256" i="5"/>
  <c r="V577" i="5"/>
  <c r="O582" i="5"/>
  <c r="W586" i="5"/>
  <c r="V603" i="5"/>
  <c r="N631" i="5"/>
  <c r="P631" i="5"/>
  <c r="P652" i="5"/>
  <c r="O652" i="5"/>
  <c r="N652" i="5"/>
  <c r="W655" i="5"/>
  <c r="V656" i="5"/>
  <c r="W657" i="5"/>
  <c r="W658" i="5"/>
  <c r="W661" i="5"/>
  <c r="P678" i="5"/>
  <c r="O678" i="5"/>
  <c r="N678" i="5"/>
  <c r="V717" i="5"/>
  <c r="U717" i="5"/>
  <c r="N719" i="5"/>
  <c r="O719" i="5"/>
  <c r="U722" i="5"/>
  <c r="W722" i="5"/>
  <c r="V729" i="5"/>
  <c r="U729" i="5"/>
  <c r="U734" i="5"/>
  <c r="T734" i="5"/>
  <c r="N735" i="5"/>
  <c r="P735" i="5"/>
  <c r="W753" i="5"/>
  <c r="N765" i="5"/>
  <c r="P765" i="5"/>
  <c r="V774" i="5"/>
  <c r="W774" i="5"/>
  <c r="V797" i="5"/>
  <c r="T797" i="5"/>
  <c r="W805" i="5"/>
  <c r="T813" i="5"/>
  <c r="P816" i="5"/>
  <c r="O816" i="5"/>
  <c r="N816" i="5"/>
  <c r="W823" i="5"/>
  <c r="U823" i="5"/>
  <c r="V858" i="5"/>
  <c r="W858" i="5"/>
  <c r="T858" i="5"/>
  <c r="N954" i="5"/>
  <c r="P954" i="5"/>
  <c r="U965" i="5"/>
  <c r="W965" i="5"/>
  <c r="V965" i="5"/>
  <c r="U568" i="5"/>
  <c r="W577" i="5"/>
  <c r="U587" i="5"/>
  <c r="P607" i="5"/>
  <c r="O607" i="5"/>
  <c r="V614" i="5"/>
  <c r="W614" i="5"/>
  <c r="V659" i="5"/>
  <c r="U659" i="5"/>
  <c r="V691" i="5"/>
  <c r="U691" i="5"/>
  <c r="U692" i="5"/>
  <c r="W692" i="5"/>
  <c r="T692" i="5"/>
  <c r="V703" i="5"/>
  <c r="U703" i="5"/>
  <c r="U704" i="5"/>
  <c r="W704" i="5"/>
  <c r="T704" i="5"/>
  <c r="V721" i="5"/>
  <c r="U721" i="5"/>
  <c r="N723" i="5"/>
  <c r="O723" i="5"/>
  <c r="W727" i="5"/>
  <c r="P738" i="5"/>
  <c r="N738" i="5"/>
  <c r="W749" i="5"/>
  <c r="W751" i="5"/>
  <c r="N755" i="5"/>
  <c r="P755" i="5"/>
  <c r="N783" i="5"/>
  <c r="P783" i="5"/>
  <c r="O783" i="5"/>
  <c r="V785" i="5"/>
  <c r="W785" i="5"/>
  <c r="N798" i="5"/>
  <c r="O798" i="5"/>
  <c r="T800" i="5"/>
  <c r="W800" i="5"/>
  <c r="V800" i="5"/>
  <c r="W813" i="5"/>
  <c r="W815" i="5"/>
  <c r="U815" i="5"/>
  <c r="U833" i="5"/>
  <c r="T833" i="5"/>
  <c r="W833" i="5"/>
  <c r="N854" i="5"/>
  <c r="O854" i="5"/>
  <c r="P854" i="5"/>
  <c r="V880" i="5"/>
  <c r="T880" i="5"/>
  <c r="P922" i="5"/>
  <c r="N950" i="5"/>
  <c r="O950" i="5"/>
  <c r="P950" i="5"/>
  <c r="U516" i="5"/>
  <c r="W522" i="5"/>
  <c r="O532" i="5"/>
  <c r="W534" i="5"/>
  <c r="U541" i="5"/>
  <c r="T549" i="5"/>
  <c r="U550" i="5"/>
  <c r="N555" i="5"/>
  <c r="U556" i="5"/>
  <c r="O560" i="5"/>
  <c r="N562" i="5"/>
  <c r="V563" i="5"/>
  <c r="V568" i="5"/>
  <c r="T569" i="5"/>
  <c r="N575" i="5"/>
  <c r="W256" i="5"/>
  <c r="W578" i="5"/>
  <c r="V587" i="5"/>
  <c r="W590" i="5"/>
  <c r="W594" i="5"/>
  <c r="N603" i="5"/>
  <c r="P606" i="5"/>
  <c r="O606" i="5"/>
  <c r="V609" i="5"/>
  <c r="W610" i="5"/>
  <c r="U611" i="5"/>
  <c r="T613" i="5"/>
  <c r="V613" i="5"/>
  <c r="V617" i="5"/>
  <c r="N623" i="5"/>
  <c r="P623" i="5"/>
  <c r="U630" i="5"/>
  <c r="W635" i="5"/>
  <c r="W653" i="5"/>
  <c r="O655" i="5"/>
  <c r="O660" i="5"/>
  <c r="W679" i="5"/>
  <c r="U688" i="5"/>
  <c r="T688" i="5"/>
  <c r="W689" i="5"/>
  <c r="U713" i="5"/>
  <c r="V715" i="5"/>
  <c r="U715" i="5"/>
  <c r="N722" i="5"/>
  <c r="V725" i="5"/>
  <c r="U725" i="5"/>
  <c r="P734" i="5"/>
  <c r="N734" i="5"/>
  <c r="U740" i="5"/>
  <c r="W740" i="5"/>
  <c r="W743" i="5"/>
  <c r="W771" i="5"/>
  <c r="U771" i="5"/>
  <c r="P772" i="5"/>
  <c r="T780" i="5"/>
  <c r="W780" i="5"/>
  <c r="V780" i="5"/>
  <c r="V782" i="5"/>
  <c r="T782" i="5"/>
  <c r="N797" i="5"/>
  <c r="P797" i="5"/>
  <c r="O797" i="5"/>
  <c r="T804" i="5"/>
  <c r="V804" i="5"/>
  <c r="U804" i="5"/>
  <c r="T885" i="5"/>
  <c r="W885" i="5"/>
  <c r="V885" i="5"/>
  <c r="U885" i="5"/>
  <c r="N916" i="5"/>
  <c r="P916" i="5"/>
  <c r="U461" i="5"/>
  <c r="V479" i="5"/>
  <c r="V468" i="5"/>
  <c r="V516" i="5"/>
  <c r="V523" i="5"/>
  <c r="U528" i="5"/>
  <c r="V535" i="5"/>
  <c r="W542" i="5"/>
  <c r="T543" i="5"/>
  <c r="U549" i="5"/>
  <c r="V550" i="5"/>
  <c r="O555" i="5"/>
  <c r="V556" i="5"/>
  <c r="V558" i="5"/>
  <c r="P562" i="5"/>
  <c r="W563" i="5"/>
  <c r="W568" i="5"/>
  <c r="V571" i="5"/>
  <c r="O575" i="5"/>
  <c r="N577" i="5"/>
  <c r="U579" i="5"/>
  <c r="W587" i="5"/>
  <c r="V591" i="5"/>
  <c r="V595" i="5"/>
  <c r="P603" i="5"/>
  <c r="W609" i="5"/>
  <c r="V611" i="5"/>
  <c r="N614" i="5"/>
  <c r="W617" i="5"/>
  <c r="V630" i="5"/>
  <c r="V647" i="5"/>
  <c r="W647" i="5"/>
  <c r="P650" i="5"/>
  <c r="N650" i="5"/>
  <c r="W678" i="5"/>
  <c r="V701" i="5"/>
  <c r="U701" i="5"/>
  <c r="U702" i="5"/>
  <c r="T702" i="5"/>
  <c r="W708" i="5"/>
  <c r="U709" i="5"/>
  <c r="W713" i="5"/>
  <c r="N717" i="5"/>
  <c r="O717" i="5"/>
  <c r="N729" i="5"/>
  <c r="O729" i="5"/>
  <c r="U736" i="5"/>
  <c r="W736" i="5"/>
  <c r="N741" i="5"/>
  <c r="P741" i="5"/>
  <c r="N745" i="5"/>
  <c r="P745" i="5"/>
  <c r="O745" i="5"/>
  <c r="P768" i="5"/>
  <c r="N768" i="5"/>
  <c r="V781" i="5"/>
  <c r="T781" i="5"/>
  <c r="V790" i="5"/>
  <c r="W790" i="5"/>
  <c r="T790" i="5"/>
  <c r="V816" i="5"/>
  <c r="N850" i="5"/>
  <c r="P850" i="5"/>
  <c r="V890" i="5"/>
  <c r="T890" i="5"/>
  <c r="W890" i="5"/>
  <c r="N899" i="5"/>
  <c r="O899" i="5"/>
  <c r="P899" i="5"/>
  <c r="N915" i="5"/>
  <c r="P915" i="5"/>
  <c r="O915" i="5"/>
  <c r="V543" i="5"/>
  <c r="W550" i="5"/>
  <c r="U564" i="5"/>
  <c r="T565" i="5"/>
  <c r="P599" i="5"/>
  <c r="O599" i="5"/>
  <c r="W630" i="5"/>
  <c r="V644" i="5"/>
  <c r="V665" i="5"/>
  <c r="U665" i="5"/>
  <c r="W667" i="5"/>
  <c r="T676" i="5"/>
  <c r="U677" i="5"/>
  <c r="N688" i="5"/>
  <c r="O689" i="5"/>
  <c r="V699" i="5"/>
  <c r="U699" i="5"/>
  <c r="W706" i="5"/>
  <c r="W709" i="5"/>
  <c r="U720" i="5"/>
  <c r="W720" i="5"/>
  <c r="T720" i="5"/>
  <c r="N721" i="5"/>
  <c r="O721" i="5"/>
  <c r="W723" i="5"/>
  <c r="N737" i="5"/>
  <c r="P737" i="5"/>
  <c r="N757" i="5"/>
  <c r="O757" i="5"/>
  <c r="N782" i="5"/>
  <c r="P782" i="5"/>
  <c r="O782" i="5"/>
  <c r="W784" i="5"/>
  <c r="V784" i="5"/>
  <c r="T784" i="5"/>
  <c r="T788" i="5"/>
  <c r="W788" i="5"/>
  <c r="V788" i="5"/>
  <c r="V793" i="5"/>
  <c r="T793" i="5"/>
  <c r="W808" i="5"/>
  <c r="W816" i="5"/>
  <c r="N827" i="5"/>
  <c r="O827" i="5"/>
  <c r="V831" i="5"/>
  <c r="T831" i="5"/>
  <c r="V832" i="5"/>
  <c r="U832" i="5"/>
  <c r="W832" i="5"/>
  <c r="T832" i="5"/>
  <c r="U884" i="5"/>
  <c r="T884" i="5"/>
  <c r="W711" i="5"/>
  <c r="W761" i="5"/>
  <c r="T769" i="5"/>
  <c r="W773" i="5"/>
  <c r="W777" i="5"/>
  <c r="T789" i="5"/>
  <c r="V792" i="5"/>
  <c r="V796" i="5"/>
  <c r="T801" i="5"/>
  <c r="N804" i="5"/>
  <c r="O808" i="5"/>
  <c r="O812" i="5"/>
  <c r="W817" i="5"/>
  <c r="T818" i="5"/>
  <c r="T820" i="5"/>
  <c r="U820" i="5"/>
  <c r="W820" i="5"/>
  <c r="V821" i="5"/>
  <c r="T821" i="5"/>
  <c r="U822" i="5"/>
  <c r="T822" i="5"/>
  <c r="P824" i="5"/>
  <c r="W834" i="5"/>
  <c r="T837" i="5"/>
  <c r="V837" i="5"/>
  <c r="U839" i="5"/>
  <c r="T839" i="5"/>
  <c r="P840" i="5"/>
  <c r="O845" i="5"/>
  <c r="N859" i="5"/>
  <c r="P859" i="5"/>
  <c r="T863" i="5"/>
  <c r="V865" i="5"/>
  <c r="T866" i="5"/>
  <c r="U876" i="5"/>
  <c r="O886" i="5"/>
  <c r="O890" i="5"/>
  <c r="O891" i="5"/>
  <c r="T906" i="5"/>
  <c r="V918" i="5"/>
  <c r="T918" i="5"/>
  <c r="W929" i="5"/>
  <c r="U929" i="5"/>
  <c r="V929" i="5"/>
  <c r="W936" i="5"/>
  <c r="O947" i="5"/>
  <c r="N947" i="5"/>
  <c r="P947" i="5"/>
  <c r="W964" i="5"/>
  <c r="T964" i="5"/>
  <c r="U964" i="5"/>
  <c r="O970" i="5"/>
  <c r="N970" i="5"/>
  <c r="T1031" i="5"/>
  <c r="U1031" i="5"/>
  <c r="V1031" i="5"/>
  <c r="W1034" i="5"/>
  <c r="U1034" i="5"/>
  <c r="V1034" i="5"/>
  <c r="W789" i="5"/>
  <c r="W792" i="5"/>
  <c r="W801" i="5"/>
  <c r="T835" i="5"/>
  <c r="W835" i="5"/>
  <c r="V836" i="5"/>
  <c r="U836" i="5"/>
  <c r="N847" i="5"/>
  <c r="P847" i="5"/>
  <c r="U861" i="5"/>
  <c r="W863" i="5"/>
  <c r="W866" i="5"/>
  <c r="T877" i="5"/>
  <c r="U877" i="5"/>
  <c r="P885" i="5"/>
  <c r="O885" i="5"/>
  <c r="P886" i="5"/>
  <c r="T893" i="5"/>
  <c r="U893" i="5"/>
  <c r="W893" i="5"/>
  <c r="N896" i="5"/>
  <c r="O896" i="5"/>
  <c r="W906" i="5"/>
  <c r="N938" i="5"/>
  <c r="P938" i="5"/>
  <c r="T1001" i="5"/>
  <c r="V1001" i="5"/>
  <c r="U1001" i="5"/>
  <c r="W1001" i="5"/>
  <c r="W1028" i="5"/>
  <c r="U1028" i="5"/>
  <c r="V1028" i="5"/>
  <c r="N846" i="5"/>
  <c r="P846" i="5"/>
  <c r="T867" i="5"/>
  <c r="V867" i="5"/>
  <c r="W867" i="5"/>
  <c r="N880" i="5"/>
  <c r="P880" i="5"/>
  <c r="T907" i="5"/>
  <c r="W907" i="5"/>
  <c r="V907" i="5"/>
  <c r="N910" i="5"/>
  <c r="O910" i="5"/>
  <c r="V928" i="5"/>
  <c r="T928" i="5"/>
  <c r="U943" i="5"/>
  <c r="W943" i="5"/>
  <c r="W757" i="5"/>
  <c r="V849" i="5"/>
  <c r="N856" i="5"/>
  <c r="P856" i="5"/>
  <c r="W861" i="5"/>
  <c r="N879" i="5"/>
  <c r="P879" i="5"/>
  <c r="T899" i="5"/>
  <c r="W899" i="5"/>
  <c r="V899" i="5"/>
  <c r="U916" i="5"/>
  <c r="T916" i="5"/>
  <c r="U931" i="5"/>
  <c r="W1030" i="5"/>
  <c r="U1030" i="5"/>
  <c r="V1030" i="5"/>
  <c r="T1033" i="5"/>
  <c r="V1033" i="5"/>
  <c r="U1033" i="5"/>
  <c r="W1033" i="5"/>
  <c r="P677" i="5"/>
  <c r="P681" i="5"/>
  <c r="U687" i="5"/>
  <c r="W731" i="5"/>
  <c r="W732" i="5"/>
  <c r="U733" i="5"/>
  <c r="U735" i="5"/>
  <c r="U737" i="5"/>
  <c r="U739" i="5"/>
  <c r="U741" i="5"/>
  <c r="P747" i="5"/>
  <c r="U755" i="5"/>
  <c r="P759" i="5"/>
  <c r="U765" i="5"/>
  <c r="P775" i="5"/>
  <c r="P781" i="5"/>
  <c r="O784" i="5"/>
  <c r="P789" i="5"/>
  <c r="O790" i="5"/>
  <c r="P801" i="5"/>
  <c r="U811" i="5"/>
  <c r="U812" i="5"/>
  <c r="P818" i="5"/>
  <c r="P835" i="5"/>
  <c r="O835" i="5"/>
  <c r="N843" i="5"/>
  <c r="P843" i="5"/>
  <c r="U845" i="5"/>
  <c r="W849" i="5"/>
  <c r="P855" i="5"/>
  <c r="V860" i="5"/>
  <c r="U860" i="5"/>
  <c r="N878" i="5"/>
  <c r="P878" i="5"/>
  <c r="V883" i="5"/>
  <c r="N888" i="5"/>
  <c r="P888" i="5"/>
  <c r="P893" i="5"/>
  <c r="P894" i="5"/>
  <c r="P900" i="5"/>
  <c r="T925" i="5"/>
  <c r="U925" i="5"/>
  <c r="N928" i="5"/>
  <c r="P928" i="5"/>
  <c r="V931" i="5"/>
  <c r="T933" i="5"/>
  <c r="U933" i="5"/>
  <c r="O951" i="5"/>
  <c r="T985" i="5"/>
  <c r="W985" i="5"/>
  <c r="U985" i="5"/>
  <c r="W994" i="5"/>
  <c r="U994" i="5"/>
  <c r="W1000" i="5"/>
  <c r="U1000" i="5"/>
  <c r="V1000" i="5"/>
  <c r="W687" i="5"/>
  <c r="W733" i="5"/>
  <c r="W735" i="5"/>
  <c r="W737" i="5"/>
  <c r="W739" i="5"/>
  <c r="W741" i="5"/>
  <c r="W755" i="5"/>
  <c r="U772" i="5"/>
  <c r="T787" i="5"/>
  <c r="V812" i="5"/>
  <c r="W825" i="5"/>
  <c r="T825" i="5"/>
  <c r="V840" i="5"/>
  <c r="T840" i="5"/>
  <c r="N842" i="5"/>
  <c r="O842" i="5"/>
  <c r="V845" i="5"/>
  <c r="N863" i="5"/>
  <c r="P863" i="5"/>
  <c r="V882" i="5"/>
  <c r="T882" i="5"/>
  <c r="N907" i="5"/>
  <c r="O907" i="5"/>
  <c r="N914" i="5"/>
  <c r="P914" i="5"/>
  <c r="V930" i="5"/>
  <c r="T930" i="5"/>
  <c r="W930" i="5"/>
  <c r="W931" i="5"/>
  <c r="T939" i="5"/>
  <c r="W939" i="5"/>
  <c r="V939" i="5"/>
  <c r="V940" i="5"/>
  <c r="T940" i="5"/>
  <c r="O971" i="5"/>
  <c r="N971" i="5"/>
  <c r="P971" i="5"/>
  <c r="V973" i="5"/>
  <c r="T989" i="5"/>
  <c r="V989" i="5"/>
  <c r="U989" i="5"/>
  <c r="W989" i="5"/>
  <c r="W1031" i="5"/>
  <c r="T1035" i="5"/>
  <c r="W1035" i="5"/>
  <c r="U1035" i="5"/>
  <c r="W824" i="5"/>
  <c r="W827" i="5"/>
  <c r="W829" i="5"/>
  <c r="W838" i="5"/>
  <c r="W917" i="5"/>
  <c r="U923" i="5"/>
  <c r="U937" i="5"/>
  <c r="W963" i="5"/>
  <c r="U979" i="5"/>
  <c r="U983" i="5"/>
  <c r="U987" i="5"/>
  <c r="W993" i="5"/>
  <c r="W999" i="5"/>
  <c r="V1003" i="5"/>
  <c r="U1004" i="5"/>
  <c r="V1005" i="5"/>
  <c r="U1006" i="5"/>
  <c r="U1007" i="5"/>
  <c r="U1009" i="5"/>
  <c r="W1027" i="5"/>
  <c r="V1032" i="5"/>
  <c r="U1037" i="5"/>
  <c r="U1041" i="5"/>
  <c r="U1042" i="5"/>
  <c r="W983" i="5"/>
  <c r="W987" i="5"/>
  <c r="W1007" i="5"/>
  <c r="U1013" i="5"/>
  <c r="V1043" i="5"/>
  <c r="U1048" i="5"/>
  <c r="U1053" i="5"/>
  <c r="T952" i="5"/>
  <c r="U953" i="5"/>
  <c r="O961" i="5"/>
  <c r="U969" i="5"/>
  <c r="W981" i="5"/>
  <c r="N985" i="5"/>
  <c r="O1003" i="5"/>
  <c r="V1011" i="5"/>
  <c r="U1012" i="5"/>
  <c r="V1013" i="5"/>
  <c r="U1014" i="5"/>
  <c r="U1015" i="5"/>
  <c r="V1017" i="5"/>
  <c r="U1018" i="5"/>
  <c r="N1031" i="5"/>
  <c r="W1039" i="5"/>
  <c r="W1043" i="5"/>
  <c r="V1044" i="5"/>
  <c r="W1045" i="5"/>
  <c r="V1046" i="5"/>
  <c r="V1047" i="5"/>
  <c r="V1048" i="5"/>
  <c r="W1049" i="5"/>
  <c r="V1051" i="5"/>
  <c r="U1052" i="5"/>
  <c r="V1053" i="5"/>
  <c r="U1054" i="5"/>
  <c r="W942" i="5"/>
  <c r="U947" i="5"/>
  <c r="W952" i="5"/>
  <c r="V953" i="5"/>
  <c r="V969" i="5"/>
  <c r="W977" i="5"/>
  <c r="P983" i="5"/>
  <c r="O985" i="5"/>
  <c r="O987" i="5"/>
  <c r="N1007" i="5"/>
  <c r="V1012" i="5"/>
  <c r="W1013" i="5"/>
  <c r="V1014" i="5"/>
  <c r="V1015" i="5"/>
  <c r="W1017" i="5"/>
  <c r="V1018" i="5"/>
  <c r="U1019" i="5"/>
  <c r="W1047" i="5"/>
  <c r="W1051" i="5"/>
  <c r="V1052" i="5"/>
  <c r="W1053" i="5"/>
  <c r="V1054" i="5"/>
  <c r="W953" i="5"/>
  <c r="W1015" i="5"/>
  <c r="V1019" i="5"/>
  <c r="U829" i="5"/>
  <c r="W854" i="5"/>
  <c r="O862" i="5"/>
  <c r="O866" i="5"/>
  <c r="V869" i="5"/>
  <c r="W896" i="5"/>
  <c r="W901" i="5"/>
  <c r="T902" i="5"/>
  <c r="W910" i="5"/>
  <c r="U915" i="5"/>
  <c r="U917" i="5"/>
  <c r="T920" i="5"/>
  <c r="U921" i="5"/>
  <c r="T922" i="5"/>
  <c r="P926" i="5"/>
  <c r="P932" i="5"/>
  <c r="P934" i="5"/>
  <c r="O935" i="5"/>
  <c r="O942" i="5"/>
  <c r="P944" i="5"/>
  <c r="P946" i="5"/>
  <c r="W947" i="5"/>
  <c r="W950" i="5"/>
  <c r="N959" i="5"/>
  <c r="N968" i="5"/>
  <c r="T975" i="5"/>
  <c r="P977" i="5"/>
  <c r="V991" i="5"/>
  <c r="T992" i="5"/>
  <c r="U993" i="5"/>
  <c r="V995" i="5"/>
  <c r="T996" i="5"/>
  <c r="V997" i="5"/>
  <c r="U998" i="5"/>
  <c r="U999" i="5"/>
  <c r="O1011" i="5"/>
  <c r="W1019" i="5"/>
  <c r="V1020" i="5"/>
  <c r="W1021" i="5"/>
  <c r="V1022" i="5"/>
  <c r="V1023" i="5"/>
  <c r="W1025" i="5"/>
  <c r="V1026" i="5"/>
  <c r="U1027" i="5"/>
  <c r="N1047" i="5"/>
  <c r="O1051" i="5"/>
  <c r="W902" i="5"/>
  <c r="V963" i="5"/>
  <c r="W991" i="5"/>
  <c r="V993" i="5"/>
  <c r="W997" i="5"/>
  <c r="U1005" i="5"/>
  <c r="W1023" i="5"/>
  <c r="V1027" i="5"/>
  <c r="U1032" i="5"/>
  <c r="F121" i="3"/>
  <c r="E30" i="19" s="1"/>
  <c r="E31" i="19" s="1"/>
  <c r="C235" i="3"/>
  <c r="C89" i="3"/>
  <c r="C167" i="3"/>
  <c r="C290" i="3"/>
  <c r="C355" i="3" s="1"/>
  <c r="V401" i="3"/>
  <c r="V484" i="3"/>
  <c r="A484" i="3" s="1"/>
  <c r="S235" i="3"/>
  <c r="AO401" i="3"/>
  <c r="AO484" i="3"/>
  <c r="S355" i="3"/>
  <c r="S290" i="3"/>
  <c r="S89" i="3"/>
  <c r="S167" i="3"/>
  <c r="F209" i="3"/>
  <c r="E43" i="19" s="1"/>
  <c r="F244" i="3"/>
  <c r="V496" i="5"/>
  <c r="W496" i="5"/>
  <c r="V498" i="5"/>
  <c r="U498" i="5"/>
  <c r="T498" i="5"/>
  <c r="N495" i="5"/>
  <c r="O495" i="5"/>
  <c r="N497" i="5"/>
  <c r="O497" i="5"/>
  <c r="P499" i="5"/>
  <c r="O499" i="5"/>
  <c r="N496" i="5"/>
  <c r="O496" i="5"/>
  <c r="P505" i="5"/>
  <c r="O505" i="5"/>
  <c r="V501" i="5"/>
  <c r="U501" i="5"/>
  <c r="W501" i="5"/>
  <c r="P500" i="5"/>
  <c r="O500" i="5"/>
  <c r="W493" i="5"/>
  <c r="V493" i="5"/>
  <c r="U493" i="5"/>
  <c r="P503" i="5"/>
  <c r="O503" i="5"/>
  <c r="T496" i="5"/>
  <c r="V495" i="5"/>
  <c r="W495" i="5"/>
  <c r="V497" i="5"/>
  <c r="W497" i="5"/>
  <c r="V502" i="5"/>
  <c r="U502" i="5"/>
  <c r="W502" i="5"/>
  <c r="U496" i="5"/>
  <c r="P504" i="5"/>
  <c r="O504" i="5"/>
  <c r="V508" i="5"/>
  <c r="U508" i="5"/>
  <c r="W508" i="5"/>
  <c r="P457" i="5"/>
  <c r="U354" i="5"/>
  <c r="O471" i="5"/>
  <c r="P471" i="5"/>
  <c r="P477" i="5"/>
  <c r="N477" i="5"/>
  <c r="O477" i="5"/>
  <c r="W505" i="5"/>
  <c r="W504" i="5"/>
  <c r="W500" i="5"/>
  <c r="U206" i="5"/>
  <c r="P483" i="5"/>
  <c r="N483" i="5"/>
  <c r="P254" i="5"/>
  <c r="N254" i="5"/>
  <c r="U506" i="5"/>
  <c r="O255" i="5"/>
  <c r="O484" i="5"/>
  <c r="P460" i="5"/>
  <c r="P255" i="5"/>
  <c r="P484" i="5"/>
  <c r="N359" i="5"/>
  <c r="T459" i="5"/>
  <c r="N472" i="5"/>
  <c r="P473" i="5"/>
  <c r="O473" i="5"/>
  <c r="O356" i="5"/>
  <c r="P356" i="5"/>
  <c r="O359" i="5"/>
  <c r="U459" i="5"/>
  <c r="T494" i="5"/>
  <c r="P506" i="5"/>
  <c r="O491" i="5"/>
  <c r="T492" i="5"/>
  <c r="O361" i="5"/>
  <c r="P361" i="5"/>
  <c r="U494" i="5"/>
  <c r="U492" i="5"/>
  <c r="O457" i="5"/>
  <c r="V255" i="5"/>
  <c r="V457" i="5"/>
  <c r="V484" i="5"/>
  <c r="W483" i="5"/>
  <c r="T254" i="5"/>
  <c r="T477" i="5"/>
  <c r="T467" i="5"/>
  <c r="T485" i="5"/>
  <c r="T488" i="5"/>
  <c r="T188" i="5"/>
  <c r="V465" i="5"/>
  <c r="O514" i="5"/>
  <c r="P514" i="5"/>
  <c r="N514" i="5"/>
  <c r="V254" i="5"/>
  <c r="V477" i="5"/>
  <c r="V467" i="5"/>
  <c r="V485" i="5"/>
  <c r="V488" i="5"/>
  <c r="V188" i="5"/>
  <c r="P467" i="5"/>
  <c r="N467" i="5"/>
  <c r="P485" i="5"/>
  <c r="N485" i="5"/>
  <c r="P488" i="5"/>
  <c r="N488" i="5"/>
  <c r="P188" i="5"/>
  <c r="N188" i="5"/>
  <c r="N481" i="5"/>
  <c r="P510" i="5"/>
  <c r="N510" i="5"/>
  <c r="O530" i="5"/>
  <c r="P530" i="5"/>
  <c r="N530" i="5"/>
  <c r="P362" i="5"/>
  <c r="P253" i="5"/>
  <c r="P490" i="5"/>
  <c r="P463" i="5"/>
  <c r="P481" i="5"/>
  <c r="U513" i="5"/>
  <c r="O515" i="5"/>
  <c r="U529" i="5"/>
  <c r="O531" i="5"/>
  <c r="U545" i="5"/>
  <c r="O547" i="5"/>
  <c r="N570" i="5"/>
  <c r="P573" i="5"/>
  <c r="N573" i="5"/>
  <c r="T576" i="5"/>
  <c r="V580" i="5"/>
  <c r="P584" i="5"/>
  <c r="N584" i="5"/>
  <c r="N585" i="5"/>
  <c r="O585" i="5"/>
  <c r="P592" i="5"/>
  <c r="N592" i="5"/>
  <c r="V596" i="5"/>
  <c r="W596" i="5"/>
  <c r="P525" i="5"/>
  <c r="N525" i="5"/>
  <c r="P541" i="5"/>
  <c r="N541" i="5"/>
  <c r="P557" i="5"/>
  <c r="N557" i="5"/>
  <c r="P561" i="5"/>
  <c r="N561" i="5"/>
  <c r="P565" i="5"/>
  <c r="N565" i="5"/>
  <c r="P569" i="5"/>
  <c r="N569" i="5"/>
  <c r="P570" i="5"/>
  <c r="O574" i="5"/>
  <c r="N574" i="5"/>
  <c r="N465" i="5"/>
  <c r="N513" i="5"/>
  <c r="V517" i="5"/>
  <c r="P522" i="5"/>
  <c r="N529" i="5"/>
  <c r="V533" i="5"/>
  <c r="P538" i="5"/>
  <c r="O542" i="5"/>
  <c r="N545" i="5"/>
  <c r="V549" i="5"/>
  <c r="W576" i="5"/>
  <c r="V576" i="5"/>
  <c r="V588" i="5"/>
  <c r="W588" i="5"/>
  <c r="O597" i="5"/>
  <c r="N597" i="5"/>
  <c r="T537" i="5"/>
  <c r="O545" i="5"/>
  <c r="T553" i="5"/>
  <c r="P580" i="5"/>
  <c r="N580" i="5"/>
  <c r="U510" i="5"/>
  <c r="U521" i="5"/>
  <c r="U537" i="5"/>
  <c r="U553" i="5"/>
  <c r="O581" i="5"/>
  <c r="N581" i="5"/>
  <c r="P588" i="5"/>
  <c r="O588" i="5"/>
  <c r="N588" i="5"/>
  <c r="O589" i="5"/>
  <c r="N589" i="5"/>
  <c r="P517" i="5"/>
  <c r="N517" i="5"/>
  <c r="N518" i="5"/>
  <c r="V521" i="5"/>
  <c r="P533" i="5"/>
  <c r="N533" i="5"/>
  <c r="N534" i="5"/>
  <c r="V537" i="5"/>
  <c r="N546" i="5"/>
  <c r="P549" i="5"/>
  <c r="N549" i="5"/>
  <c r="N550" i="5"/>
  <c r="T551" i="5"/>
  <c r="V553" i="5"/>
  <c r="U557" i="5"/>
  <c r="U561" i="5"/>
  <c r="U565" i="5"/>
  <c r="V573" i="5"/>
  <c r="P576" i="5"/>
  <c r="N576" i="5"/>
  <c r="P577" i="5"/>
  <c r="W584" i="5"/>
  <c r="V584" i="5"/>
  <c r="W592" i="5"/>
  <c r="V592" i="5"/>
  <c r="T592" i="5"/>
  <c r="T596" i="5"/>
  <c r="N521" i="5"/>
  <c r="V525" i="5"/>
  <c r="N537" i="5"/>
  <c r="V541" i="5"/>
  <c r="P546" i="5"/>
  <c r="N553" i="5"/>
  <c r="V557" i="5"/>
  <c r="V561" i="5"/>
  <c r="V565" i="5"/>
  <c r="W569" i="5"/>
  <c r="V569" i="5"/>
  <c r="T580" i="5"/>
  <c r="N593" i="5"/>
  <c r="P593" i="5"/>
  <c r="O593" i="5"/>
  <c r="U596" i="5"/>
  <c r="N596" i="5"/>
  <c r="O601" i="5"/>
  <c r="N604" i="5"/>
  <c r="W604" i="5"/>
  <c r="O609" i="5"/>
  <c r="U610" i="5"/>
  <c r="N612" i="5"/>
  <c r="W612" i="5"/>
  <c r="O617" i="5"/>
  <c r="U618" i="5"/>
  <c r="W621" i="5"/>
  <c r="O624" i="5"/>
  <c r="U625" i="5"/>
  <c r="V628" i="5"/>
  <c r="T629" i="5"/>
  <c r="U632" i="5"/>
  <c r="T636" i="5"/>
  <c r="O638" i="5"/>
  <c r="U639" i="5"/>
  <c r="N642" i="5"/>
  <c r="W642" i="5"/>
  <c r="N646" i="5"/>
  <c r="T648" i="5"/>
  <c r="O651" i="5"/>
  <c r="V652" i="5"/>
  <c r="O656" i="5"/>
  <c r="U658" i="5"/>
  <c r="N662" i="5"/>
  <c r="V664" i="5"/>
  <c r="O596" i="5"/>
  <c r="N599" i="5"/>
  <c r="T600" i="5"/>
  <c r="P601" i="5"/>
  <c r="O604" i="5"/>
  <c r="N607" i="5"/>
  <c r="T608" i="5"/>
  <c r="P609" i="5"/>
  <c r="V610" i="5"/>
  <c r="O612" i="5"/>
  <c r="N615" i="5"/>
  <c r="T616" i="5"/>
  <c r="P617" i="5"/>
  <c r="V618" i="5"/>
  <c r="P624" i="5"/>
  <c r="W625" i="5"/>
  <c r="T626" i="5"/>
  <c r="W628" i="5"/>
  <c r="U629" i="5"/>
  <c r="W632" i="5"/>
  <c r="T633" i="5"/>
  <c r="U636" i="5"/>
  <c r="P638" i="5"/>
  <c r="W639" i="5"/>
  <c r="T640" i="5"/>
  <c r="O642" i="5"/>
  <c r="N645" i="5"/>
  <c r="O645" i="5"/>
  <c r="O646" i="5"/>
  <c r="U648" i="5"/>
  <c r="P651" i="5"/>
  <c r="W652" i="5"/>
  <c r="T654" i="5"/>
  <c r="N661" i="5"/>
  <c r="O661" i="5"/>
  <c r="O662" i="5"/>
  <c r="W664" i="5"/>
  <c r="V674" i="5"/>
  <c r="U600" i="5"/>
  <c r="U608" i="5"/>
  <c r="O615" i="5"/>
  <c r="U616" i="5"/>
  <c r="N618" i="5"/>
  <c r="O625" i="5"/>
  <c r="U626" i="5"/>
  <c r="W629" i="5"/>
  <c r="O632" i="5"/>
  <c r="U633" i="5"/>
  <c r="N636" i="5"/>
  <c r="T637" i="5"/>
  <c r="U640" i="5"/>
  <c r="T644" i="5"/>
  <c r="U654" i="5"/>
  <c r="P670" i="5"/>
  <c r="O670" i="5"/>
  <c r="N672" i="5"/>
  <c r="W674" i="5"/>
  <c r="P682" i="5"/>
  <c r="N682" i="5"/>
  <c r="T575" i="5"/>
  <c r="O578" i="5"/>
  <c r="T582" i="5"/>
  <c r="O586" i="5"/>
  <c r="T590" i="5"/>
  <c r="O594" i="5"/>
  <c r="T598" i="5"/>
  <c r="V600" i="5"/>
  <c r="O602" i="5"/>
  <c r="N605" i="5"/>
  <c r="T606" i="5"/>
  <c r="V608" i="5"/>
  <c r="O610" i="5"/>
  <c r="N613" i="5"/>
  <c r="T614" i="5"/>
  <c r="O618" i="5"/>
  <c r="N621" i="5"/>
  <c r="O621" i="5"/>
  <c r="N622" i="5"/>
  <c r="T623" i="5"/>
  <c r="P625" i="5"/>
  <c r="P632" i="5"/>
  <c r="W633" i="5"/>
  <c r="T634" i="5"/>
  <c r="U637" i="5"/>
  <c r="W640" i="5"/>
  <c r="T641" i="5"/>
  <c r="O643" i="5"/>
  <c r="P647" i="5"/>
  <c r="N648" i="5"/>
  <c r="T650" i="5"/>
  <c r="W654" i="5"/>
  <c r="N657" i="5"/>
  <c r="O657" i="5"/>
  <c r="O658" i="5"/>
  <c r="P664" i="5"/>
  <c r="O664" i="5"/>
  <c r="U666" i="5"/>
  <c r="W666" i="5"/>
  <c r="T666" i="5"/>
  <c r="T668" i="5"/>
  <c r="O672" i="5"/>
  <c r="N600" i="5"/>
  <c r="O605" i="5"/>
  <c r="N608" i="5"/>
  <c r="O613" i="5"/>
  <c r="U614" i="5"/>
  <c r="N616" i="5"/>
  <c r="T620" i="5"/>
  <c r="O622" i="5"/>
  <c r="U623" i="5"/>
  <c r="N626" i="5"/>
  <c r="O633" i="5"/>
  <c r="U634" i="5"/>
  <c r="W637" i="5"/>
  <c r="O640" i="5"/>
  <c r="U641" i="5"/>
  <c r="P643" i="5"/>
  <c r="O648" i="5"/>
  <c r="U650" i="5"/>
  <c r="N654" i="5"/>
  <c r="O659" i="5"/>
  <c r="V668" i="5"/>
  <c r="T680" i="5"/>
  <c r="O600" i="5"/>
  <c r="T604" i="5"/>
  <c r="O608" i="5"/>
  <c r="T612" i="5"/>
  <c r="O616" i="5"/>
  <c r="U620" i="5"/>
  <c r="W623" i="5"/>
  <c r="T624" i="5"/>
  <c r="O626" i="5"/>
  <c r="N629" i="5"/>
  <c r="O629" i="5"/>
  <c r="T631" i="5"/>
  <c r="P633" i="5"/>
  <c r="P640" i="5"/>
  <c r="T642" i="5"/>
  <c r="T646" i="5"/>
  <c r="N653" i="5"/>
  <c r="O653" i="5"/>
  <c r="O654" i="5"/>
  <c r="U656" i="5"/>
  <c r="P659" i="5"/>
  <c r="U604" i="5"/>
  <c r="U612" i="5"/>
  <c r="U624" i="5"/>
  <c r="T628" i="5"/>
  <c r="U631" i="5"/>
  <c r="U642" i="5"/>
  <c r="U646" i="5"/>
  <c r="V662" i="5"/>
  <c r="T662" i="5"/>
  <c r="W662" i="5"/>
  <c r="U680" i="5"/>
  <c r="W680" i="5"/>
  <c r="U684" i="5"/>
  <c r="T684" i="5"/>
  <c r="W684" i="5"/>
  <c r="O614" i="5"/>
  <c r="U621" i="5"/>
  <c r="W624" i="5"/>
  <c r="T625" i="5"/>
  <c r="W631" i="5"/>
  <c r="T632" i="5"/>
  <c r="O634" i="5"/>
  <c r="N637" i="5"/>
  <c r="O637" i="5"/>
  <c r="T639" i="5"/>
  <c r="P641" i="5"/>
  <c r="W646" i="5"/>
  <c r="N649" i="5"/>
  <c r="O649" i="5"/>
  <c r="U670" i="5"/>
  <c r="W670" i="5"/>
  <c r="P676" i="5"/>
  <c r="N676" i="5"/>
  <c r="V686" i="5"/>
  <c r="W696" i="5"/>
  <c r="V702" i="5"/>
  <c r="W712" i="5"/>
  <c r="V718" i="5"/>
  <c r="W728" i="5"/>
  <c r="V734" i="5"/>
  <c r="N744" i="5"/>
  <c r="P744" i="5"/>
  <c r="V750" i="5"/>
  <c r="U750" i="5"/>
  <c r="T754" i="5"/>
  <c r="N760" i="5"/>
  <c r="P760" i="5"/>
  <c r="V768" i="5"/>
  <c r="O674" i="5"/>
  <c r="V676" i="5"/>
  <c r="N680" i="5"/>
  <c r="T682" i="5"/>
  <c r="W686" i="5"/>
  <c r="O690" i="5"/>
  <c r="V692" i="5"/>
  <c r="N696" i="5"/>
  <c r="T698" i="5"/>
  <c r="W702" i="5"/>
  <c r="O706" i="5"/>
  <c r="V708" i="5"/>
  <c r="N712" i="5"/>
  <c r="T714" i="5"/>
  <c r="W718" i="5"/>
  <c r="O722" i="5"/>
  <c r="V724" i="5"/>
  <c r="N728" i="5"/>
  <c r="T730" i="5"/>
  <c r="W734" i="5"/>
  <c r="O738" i="5"/>
  <c r="V740" i="5"/>
  <c r="N746" i="5"/>
  <c r="P746" i="5"/>
  <c r="V752" i="5"/>
  <c r="U752" i="5"/>
  <c r="T756" i="5"/>
  <c r="N762" i="5"/>
  <c r="P762" i="5"/>
  <c r="W767" i="5"/>
  <c r="T767" i="5"/>
  <c r="V767" i="5"/>
  <c r="W768" i="5"/>
  <c r="N787" i="5"/>
  <c r="O787" i="5"/>
  <c r="P787" i="5"/>
  <c r="V791" i="5"/>
  <c r="U791" i="5"/>
  <c r="T791" i="5"/>
  <c r="V682" i="5"/>
  <c r="N686" i="5"/>
  <c r="V698" i="5"/>
  <c r="V714" i="5"/>
  <c r="V730" i="5"/>
  <c r="T742" i="5"/>
  <c r="N748" i="5"/>
  <c r="P748" i="5"/>
  <c r="V754" i="5"/>
  <c r="U754" i="5"/>
  <c r="T758" i="5"/>
  <c r="N764" i="5"/>
  <c r="P764" i="5"/>
  <c r="W770" i="5"/>
  <c r="U770" i="5"/>
  <c r="V770" i="5"/>
  <c r="N779" i="5"/>
  <c r="O779" i="5"/>
  <c r="P779" i="5"/>
  <c r="V794" i="5"/>
  <c r="W794" i="5"/>
  <c r="T794" i="5"/>
  <c r="U619" i="5"/>
  <c r="U627" i="5"/>
  <c r="U635" i="5"/>
  <c r="U643" i="5"/>
  <c r="V672" i="5"/>
  <c r="T678" i="5"/>
  <c r="W682" i="5"/>
  <c r="O686" i="5"/>
  <c r="V688" i="5"/>
  <c r="N692" i="5"/>
  <c r="T694" i="5"/>
  <c r="W698" i="5"/>
  <c r="O702" i="5"/>
  <c r="V704" i="5"/>
  <c r="N708" i="5"/>
  <c r="T710" i="5"/>
  <c r="W714" i="5"/>
  <c r="O718" i="5"/>
  <c r="V720" i="5"/>
  <c r="N724" i="5"/>
  <c r="T726" i="5"/>
  <c r="W730" i="5"/>
  <c r="O734" i="5"/>
  <c r="V736" i="5"/>
  <c r="N740" i="5"/>
  <c r="T744" i="5"/>
  <c r="N750" i="5"/>
  <c r="P750" i="5"/>
  <c r="V756" i="5"/>
  <c r="U756" i="5"/>
  <c r="T760" i="5"/>
  <c r="V771" i="5"/>
  <c r="T771" i="5"/>
  <c r="P778" i="5"/>
  <c r="O778" i="5"/>
  <c r="N785" i="5"/>
  <c r="P785" i="5"/>
  <c r="O785" i="5"/>
  <c r="N786" i="5"/>
  <c r="P786" i="5"/>
  <c r="V678" i="5"/>
  <c r="O692" i="5"/>
  <c r="V694" i="5"/>
  <c r="T700" i="5"/>
  <c r="O708" i="5"/>
  <c r="V710" i="5"/>
  <c r="N714" i="5"/>
  <c r="T716" i="5"/>
  <c r="O724" i="5"/>
  <c r="V726" i="5"/>
  <c r="N730" i="5"/>
  <c r="T732" i="5"/>
  <c r="O740" i="5"/>
  <c r="V742" i="5"/>
  <c r="U742" i="5"/>
  <c r="T746" i="5"/>
  <c r="N752" i="5"/>
  <c r="P752" i="5"/>
  <c r="V758" i="5"/>
  <c r="U758" i="5"/>
  <c r="T762" i="5"/>
  <c r="O767" i="5"/>
  <c r="P767" i="5"/>
  <c r="N770" i="5"/>
  <c r="N794" i="5"/>
  <c r="P794" i="5"/>
  <c r="O794" i="5"/>
  <c r="T690" i="5"/>
  <c r="V700" i="5"/>
  <c r="N704" i="5"/>
  <c r="V716" i="5"/>
  <c r="N720" i="5"/>
  <c r="T722" i="5"/>
  <c r="O730" i="5"/>
  <c r="V732" i="5"/>
  <c r="N736" i="5"/>
  <c r="T738" i="5"/>
  <c r="V744" i="5"/>
  <c r="U744" i="5"/>
  <c r="T748" i="5"/>
  <c r="N754" i="5"/>
  <c r="P754" i="5"/>
  <c r="V760" i="5"/>
  <c r="U760" i="5"/>
  <c r="T764" i="5"/>
  <c r="O769" i="5"/>
  <c r="P769" i="5"/>
  <c r="P770" i="5"/>
  <c r="O771" i="5"/>
  <c r="P771" i="5"/>
  <c r="N771" i="5"/>
  <c r="V690" i="5"/>
  <c r="T696" i="5"/>
  <c r="W700" i="5"/>
  <c r="O704" i="5"/>
  <c r="V706" i="5"/>
  <c r="T712" i="5"/>
  <c r="W716" i="5"/>
  <c r="O720" i="5"/>
  <c r="V722" i="5"/>
  <c r="T728" i="5"/>
  <c r="O736" i="5"/>
  <c r="V738" i="5"/>
  <c r="V746" i="5"/>
  <c r="U746" i="5"/>
  <c r="T750" i="5"/>
  <c r="N756" i="5"/>
  <c r="P756" i="5"/>
  <c r="V762" i="5"/>
  <c r="U762" i="5"/>
  <c r="V775" i="5"/>
  <c r="W775" i="5"/>
  <c r="U775" i="5"/>
  <c r="T686" i="5"/>
  <c r="W690" i="5"/>
  <c r="V696" i="5"/>
  <c r="V712" i="5"/>
  <c r="V728" i="5"/>
  <c r="N742" i="5"/>
  <c r="P742" i="5"/>
  <c r="V748" i="5"/>
  <c r="U748" i="5"/>
  <c r="N758" i="5"/>
  <c r="P758" i="5"/>
  <c r="V764" i="5"/>
  <c r="U764" i="5"/>
  <c r="W766" i="5"/>
  <c r="V766" i="5"/>
  <c r="T766" i="5"/>
  <c r="U794" i="5"/>
  <c r="T645" i="5"/>
  <c r="T647" i="5"/>
  <c r="T649" i="5"/>
  <c r="T651" i="5"/>
  <c r="T653" i="5"/>
  <c r="T655" i="5"/>
  <c r="T657" i="5"/>
  <c r="T659" i="5"/>
  <c r="T661" i="5"/>
  <c r="T663" i="5"/>
  <c r="T665" i="5"/>
  <c r="T667" i="5"/>
  <c r="T669" i="5"/>
  <c r="T671" i="5"/>
  <c r="T673" i="5"/>
  <c r="T675" i="5"/>
  <c r="T677" i="5"/>
  <c r="T679" i="5"/>
  <c r="T681" i="5"/>
  <c r="T683" i="5"/>
  <c r="T685" i="5"/>
  <c r="T687" i="5"/>
  <c r="T689" i="5"/>
  <c r="T691" i="5"/>
  <c r="T693" i="5"/>
  <c r="T695" i="5"/>
  <c r="T697" i="5"/>
  <c r="T699" i="5"/>
  <c r="T701" i="5"/>
  <c r="T703" i="5"/>
  <c r="T705" i="5"/>
  <c r="T707" i="5"/>
  <c r="T709" i="5"/>
  <c r="T711" i="5"/>
  <c r="T713" i="5"/>
  <c r="T715" i="5"/>
  <c r="T717" i="5"/>
  <c r="T719" i="5"/>
  <c r="T721" i="5"/>
  <c r="T723" i="5"/>
  <c r="T725" i="5"/>
  <c r="T727" i="5"/>
  <c r="T729" i="5"/>
  <c r="T731" i="5"/>
  <c r="T733" i="5"/>
  <c r="T735" i="5"/>
  <c r="T737" i="5"/>
  <c r="T739" i="5"/>
  <c r="T741" i="5"/>
  <c r="T743" i="5"/>
  <c r="T745" i="5"/>
  <c r="T747" i="5"/>
  <c r="T749" i="5"/>
  <c r="T751" i="5"/>
  <c r="T753" i="5"/>
  <c r="T755" i="5"/>
  <c r="T757" i="5"/>
  <c r="T759" i="5"/>
  <c r="T761" i="5"/>
  <c r="T763" i="5"/>
  <c r="T765" i="5"/>
  <c r="U773" i="5"/>
  <c r="W776" i="5"/>
  <c r="U784" i="5"/>
  <c r="W787" i="5"/>
  <c r="P790" i="5"/>
  <c r="N795" i="5"/>
  <c r="O795" i="5"/>
  <c r="T798" i="5"/>
  <c r="W802" i="5"/>
  <c r="U803" i="5"/>
  <c r="P806" i="5"/>
  <c r="N811" i="5"/>
  <c r="O811" i="5"/>
  <c r="N819" i="5"/>
  <c r="O819" i="5"/>
  <c r="P819" i="5"/>
  <c r="U825" i="5"/>
  <c r="O837" i="5"/>
  <c r="N837" i="5"/>
  <c r="U798" i="5"/>
  <c r="T799" i="5"/>
  <c r="O802" i="5"/>
  <c r="W803" i="5"/>
  <c r="V814" i="5"/>
  <c r="W814" i="5"/>
  <c r="V815" i="5"/>
  <c r="T815" i="5"/>
  <c r="V822" i="5"/>
  <c r="W822" i="5"/>
  <c r="V823" i="5"/>
  <c r="T823" i="5"/>
  <c r="U828" i="5"/>
  <c r="N839" i="5"/>
  <c r="O839" i="5"/>
  <c r="P839" i="5"/>
  <c r="P851" i="5"/>
  <c r="O851" i="5"/>
  <c r="N851" i="5"/>
  <c r="V765" i="5"/>
  <c r="U774" i="5"/>
  <c r="T778" i="5"/>
  <c r="U781" i="5"/>
  <c r="N784" i="5"/>
  <c r="N791" i="5"/>
  <c r="O791" i="5"/>
  <c r="N792" i="5"/>
  <c r="W798" i="5"/>
  <c r="U799" i="5"/>
  <c r="P802" i="5"/>
  <c r="N807" i="5"/>
  <c r="O807" i="5"/>
  <c r="N808" i="5"/>
  <c r="T810" i="5"/>
  <c r="U827" i="5"/>
  <c r="N832" i="5"/>
  <c r="O832" i="5"/>
  <c r="P832" i="5"/>
  <c r="P841" i="5"/>
  <c r="N841" i="5"/>
  <c r="N848" i="5"/>
  <c r="O848" i="5"/>
  <c r="W799" i="5"/>
  <c r="U810" i="5"/>
  <c r="U782" i="5"/>
  <c r="T786" i="5"/>
  <c r="N803" i="5"/>
  <c r="O803" i="5"/>
  <c r="W810" i="5"/>
  <c r="N814" i="5"/>
  <c r="O814" i="5"/>
  <c r="N815" i="5"/>
  <c r="O815" i="5"/>
  <c r="U818" i="5"/>
  <c r="N822" i="5"/>
  <c r="O822" i="5"/>
  <c r="N823" i="5"/>
  <c r="O823" i="5"/>
  <c r="P825" i="5"/>
  <c r="N825" i="5"/>
  <c r="O825" i="5"/>
  <c r="V828" i="5"/>
  <c r="T828" i="5"/>
  <c r="U769" i="5"/>
  <c r="P774" i="5"/>
  <c r="T776" i="5"/>
  <c r="U779" i="5"/>
  <c r="W782" i="5"/>
  <c r="T783" i="5"/>
  <c r="U786" i="5"/>
  <c r="U790" i="5"/>
  <c r="W795" i="5"/>
  <c r="O804" i="5"/>
  <c r="U806" i="5"/>
  <c r="T807" i="5"/>
  <c r="O810" i="5"/>
  <c r="W811" i="5"/>
  <c r="W818" i="5"/>
  <c r="W819" i="5"/>
  <c r="N826" i="5"/>
  <c r="P826" i="5"/>
  <c r="V846" i="5"/>
  <c r="W846" i="5"/>
  <c r="U846" i="5"/>
  <c r="W779" i="5"/>
  <c r="U783" i="5"/>
  <c r="N799" i="5"/>
  <c r="O799" i="5"/>
  <c r="T802" i="5"/>
  <c r="U807" i="5"/>
  <c r="P810" i="5"/>
  <c r="V830" i="5"/>
  <c r="T830" i="5"/>
  <c r="W830" i="5"/>
  <c r="V843" i="5"/>
  <c r="U843" i="5"/>
  <c r="W843" i="5"/>
  <c r="U802" i="5"/>
  <c r="W807" i="5"/>
  <c r="V839" i="5"/>
  <c r="W839" i="5"/>
  <c r="W841" i="5"/>
  <c r="V841" i="5"/>
  <c r="T841" i="5"/>
  <c r="N844" i="5"/>
  <c r="O844" i="5"/>
  <c r="P844" i="5"/>
  <c r="N858" i="5"/>
  <c r="P858" i="5"/>
  <c r="O858" i="5"/>
  <c r="N828" i="5"/>
  <c r="O828" i="5"/>
  <c r="O843" i="5"/>
  <c r="U844" i="5"/>
  <c r="T848" i="5"/>
  <c r="O850" i="5"/>
  <c r="P853" i="5"/>
  <c r="T855" i="5"/>
  <c r="O857" i="5"/>
  <c r="N860" i="5"/>
  <c r="O860" i="5"/>
  <c r="T862" i="5"/>
  <c r="P864" i="5"/>
  <c r="P872" i="5"/>
  <c r="N876" i="5"/>
  <c r="O876" i="5"/>
  <c r="O877" i="5"/>
  <c r="U878" i="5"/>
  <c r="O881" i="5"/>
  <c r="P881" i="5"/>
  <c r="O882" i="5"/>
  <c r="U887" i="5"/>
  <c r="V887" i="5"/>
  <c r="W887" i="5"/>
  <c r="T888" i="5"/>
  <c r="W891" i="5"/>
  <c r="O895" i="5"/>
  <c r="V897" i="5"/>
  <c r="U919" i="5"/>
  <c r="V919" i="5"/>
  <c r="W844" i="5"/>
  <c r="U848" i="5"/>
  <c r="U855" i="5"/>
  <c r="T859" i="5"/>
  <c r="U862" i="5"/>
  <c r="N869" i="5"/>
  <c r="T875" i="5"/>
  <c r="U888" i="5"/>
  <c r="V892" i="5"/>
  <c r="W892" i="5"/>
  <c r="P895" i="5"/>
  <c r="P903" i="5"/>
  <c r="N903" i="5"/>
  <c r="N904" i="5"/>
  <c r="O904" i="5"/>
  <c r="O905" i="5"/>
  <c r="P905" i="5"/>
  <c r="V908" i="5"/>
  <c r="W908" i="5"/>
  <c r="P917" i="5"/>
  <c r="N917" i="5"/>
  <c r="N836" i="5"/>
  <c r="O836" i="5"/>
  <c r="W848" i="5"/>
  <c r="W855" i="5"/>
  <c r="U859" i="5"/>
  <c r="W862" i="5"/>
  <c r="N868" i="5"/>
  <c r="O868" i="5"/>
  <c r="O869" i="5"/>
  <c r="U870" i="5"/>
  <c r="O873" i="5"/>
  <c r="P873" i="5"/>
  <c r="O874" i="5"/>
  <c r="U875" i="5"/>
  <c r="U879" i="5"/>
  <c r="V879" i="5"/>
  <c r="W879" i="5"/>
  <c r="O887" i="5"/>
  <c r="W888" i="5"/>
  <c r="T900" i="5"/>
  <c r="U789" i="5"/>
  <c r="U797" i="5"/>
  <c r="U805" i="5"/>
  <c r="U813" i="5"/>
  <c r="U821" i="5"/>
  <c r="U824" i="5"/>
  <c r="U831" i="5"/>
  <c r="U838" i="5"/>
  <c r="W852" i="5"/>
  <c r="O855" i="5"/>
  <c r="U856" i="5"/>
  <c r="T860" i="5"/>
  <c r="U863" i="5"/>
  <c r="W870" i="5"/>
  <c r="P874" i="5"/>
  <c r="U880" i="5"/>
  <c r="T881" i="5"/>
  <c r="V884" i="5"/>
  <c r="W884" i="5"/>
  <c r="P887" i="5"/>
  <c r="O888" i="5"/>
  <c r="V889" i="5"/>
  <c r="T894" i="5"/>
  <c r="O897" i="5"/>
  <c r="P897" i="5"/>
  <c r="U911" i="5"/>
  <c r="V911" i="5"/>
  <c r="P919" i="5"/>
  <c r="N919" i="5"/>
  <c r="N920" i="5"/>
  <c r="O920" i="5"/>
  <c r="O921" i="5"/>
  <c r="P921" i="5"/>
  <c r="U871" i="5"/>
  <c r="V871" i="5"/>
  <c r="W871" i="5"/>
  <c r="N892" i="5"/>
  <c r="O892" i="5"/>
  <c r="U894" i="5"/>
  <c r="N898" i="5"/>
  <c r="O898" i="5"/>
  <c r="V900" i="5"/>
  <c r="W900" i="5"/>
  <c r="P909" i="5"/>
  <c r="N909" i="5"/>
  <c r="U857" i="5"/>
  <c r="W860" i="5"/>
  <c r="U864" i="5"/>
  <c r="U872" i="5"/>
  <c r="V876" i="5"/>
  <c r="W876" i="5"/>
  <c r="V881" i="5"/>
  <c r="T891" i="5"/>
  <c r="W894" i="5"/>
  <c r="P925" i="5"/>
  <c r="N925" i="5"/>
  <c r="O929" i="5"/>
  <c r="N929" i="5"/>
  <c r="P929" i="5"/>
  <c r="N852" i="5"/>
  <c r="O852" i="5"/>
  <c r="N853" i="5"/>
  <c r="V857" i="5"/>
  <c r="W864" i="5"/>
  <c r="W872" i="5"/>
  <c r="N884" i="5"/>
  <c r="O884" i="5"/>
  <c r="U886" i="5"/>
  <c r="O889" i="5"/>
  <c r="P889" i="5"/>
  <c r="U891" i="5"/>
  <c r="U895" i="5"/>
  <c r="V895" i="5"/>
  <c r="W895" i="5"/>
  <c r="U903" i="5"/>
  <c r="V903" i="5"/>
  <c r="P911" i="5"/>
  <c r="N911" i="5"/>
  <c r="N912" i="5"/>
  <c r="O912" i="5"/>
  <c r="O913" i="5"/>
  <c r="P913" i="5"/>
  <c r="V916" i="5"/>
  <c r="W916" i="5"/>
  <c r="T919" i="5"/>
  <c r="P933" i="5"/>
  <c r="O933" i="5"/>
  <c r="N933" i="5"/>
  <c r="U777" i="5"/>
  <c r="U785" i="5"/>
  <c r="U793" i="5"/>
  <c r="U801" i="5"/>
  <c r="U809" i="5"/>
  <c r="U817" i="5"/>
  <c r="P828" i="5"/>
  <c r="W836" i="5"/>
  <c r="U840" i="5"/>
  <c r="P842" i="5"/>
  <c r="T844" i="5"/>
  <c r="U847" i="5"/>
  <c r="U854" i="5"/>
  <c r="N857" i="5"/>
  <c r="P860" i="5"/>
  <c r="O864" i="5"/>
  <c r="V868" i="5"/>
  <c r="W868" i="5"/>
  <c r="P871" i="5"/>
  <c r="O872" i="5"/>
  <c r="V873" i="5"/>
  <c r="P876" i="5"/>
  <c r="T878" i="5"/>
  <c r="N881" i="5"/>
  <c r="W886" i="5"/>
  <c r="T887" i="5"/>
  <c r="P890" i="5"/>
  <c r="T892" i="5"/>
  <c r="U897" i="5"/>
  <c r="P901" i="5"/>
  <c r="N901" i="5"/>
  <c r="T908" i="5"/>
  <c r="W919" i="5"/>
  <c r="P927" i="5"/>
  <c r="N927" i="5"/>
  <c r="P941" i="5"/>
  <c r="O941" i="5"/>
  <c r="N941" i="5"/>
  <c r="U826" i="5"/>
  <c r="U834" i="5"/>
  <c r="U842" i="5"/>
  <c r="U850" i="5"/>
  <c r="U858" i="5"/>
  <c r="U866" i="5"/>
  <c r="U874" i="5"/>
  <c r="U882" i="5"/>
  <c r="U890" i="5"/>
  <c r="U898" i="5"/>
  <c r="O900" i="5"/>
  <c r="U906" i="5"/>
  <c r="O908" i="5"/>
  <c r="U914" i="5"/>
  <c r="O916" i="5"/>
  <c r="U922" i="5"/>
  <c r="O924" i="5"/>
  <c r="V927" i="5"/>
  <c r="U930" i="5"/>
  <c r="O932" i="5"/>
  <c r="N935" i="5"/>
  <c r="V935" i="5"/>
  <c r="P937" i="5"/>
  <c r="U938" i="5"/>
  <c r="O940" i="5"/>
  <c r="N943" i="5"/>
  <c r="V943" i="5"/>
  <c r="P945" i="5"/>
  <c r="U946" i="5"/>
  <c r="O948" i="5"/>
  <c r="N951" i="5"/>
  <c r="V951" i="5"/>
  <c r="P953" i="5"/>
  <c r="W954" i="5"/>
  <c r="V954" i="5"/>
  <c r="U954" i="5"/>
  <c r="O956" i="5"/>
  <c r="P956" i="5"/>
  <c r="N957" i="5"/>
  <c r="W957" i="5"/>
  <c r="T958" i="5"/>
  <c r="P960" i="5"/>
  <c r="V961" i="5"/>
  <c r="T965" i="5"/>
  <c r="P967" i="5"/>
  <c r="W971" i="5"/>
  <c r="U972" i="5"/>
  <c r="P974" i="5"/>
  <c r="V975" i="5"/>
  <c r="P979" i="5"/>
  <c r="U982" i="5"/>
  <c r="P992" i="5"/>
  <c r="O992" i="5"/>
  <c r="N997" i="5"/>
  <c r="W951" i="5"/>
  <c r="T955" i="5"/>
  <c r="U958" i="5"/>
  <c r="W961" i="5"/>
  <c r="V972" i="5"/>
  <c r="W976" i="5"/>
  <c r="U976" i="5"/>
  <c r="V982" i="5"/>
  <c r="W988" i="5"/>
  <c r="U988" i="5"/>
  <c r="T990" i="5"/>
  <c r="P995" i="5"/>
  <c r="O995" i="5"/>
  <c r="N995" i="5"/>
  <c r="U896" i="5"/>
  <c r="U904" i="5"/>
  <c r="O906" i="5"/>
  <c r="U912" i="5"/>
  <c r="O914" i="5"/>
  <c r="U920" i="5"/>
  <c r="O922" i="5"/>
  <c r="U928" i="5"/>
  <c r="O930" i="5"/>
  <c r="U936" i="5"/>
  <c r="O938" i="5"/>
  <c r="U944" i="5"/>
  <c r="O946" i="5"/>
  <c r="N949" i="5"/>
  <c r="U952" i="5"/>
  <c r="O954" i="5"/>
  <c r="U955" i="5"/>
  <c r="V958" i="5"/>
  <c r="T959" i="5"/>
  <c r="W962" i="5"/>
  <c r="V962" i="5"/>
  <c r="U962" i="5"/>
  <c r="O964" i="5"/>
  <c r="P964" i="5"/>
  <c r="N965" i="5"/>
  <c r="T966" i="5"/>
  <c r="P968" i="5"/>
  <c r="T973" i="5"/>
  <c r="P975" i="5"/>
  <c r="T978" i="5"/>
  <c r="P980" i="5"/>
  <c r="O980" i="5"/>
  <c r="O981" i="5"/>
  <c r="T984" i="5"/>
  <c r="P987" i="5"/>
  <c r="U990" i="5"/>
  <c r="P996" i="5"/>
  <c r="O996" i="5"/>
  <c r="O949" i="5"/>
  <c r="N955" i="5"/>
  <c r="V955" i="5"/>
  <c r="T956" i="5"/>
  <c r="N958" i="5"/>
  <c r="U959" i="5"/>
  <c r="T963" i="5"/>
  <c r="O965" i="5"/>
  <c r="U966" i="5"/>
  <c r="N977" i="5"/>
  <c r="U978" i="5"/>
  <c r="N989" i="5"/>
  <c r="V990" i="5"/>
  <c r="P1001" i="5"/>
  <c r="O1001" i="5"/>
  <c r="N1001" i="5"/>
  <c r="U902" i="5"/>
  <c r="T905" i="5"/>
  <c r="U910" i="5"/>
  <c r="T913" i="5"/>
  <c r="U918" i="5"/>
  <c r="T921" i="5"/>
  <c r="U926" i="5"/>
  <c r="O928" i="5"/>
  <c r="T929" i="5"/>
  <c r="U934" i="5"/>
  <c r="O936" i="5"/>
  <c r="T937" i="5"/>
  <c r="U942" i="5"/>
  <c r="O944" i="5"/>
  <c r="U950" i="5"/>
  <c r="O952" i="5"/>
  <c r="U956" i="5"/>
  <c r="P958" i="5"/>
  <c r="V959" i="5"/>
  <c r="N962" i="5"/>
  <c r="V966" i="5"/>
  <c r="T967" i="5"/>
  <c r="W970" i="5"/>
  <c r="V970" i="5"/>
  <c r="U970" i="5"/>
  <c r="O972" i="5"/>
  <c r="P972" i="5"/>
  <c r="T974" i="5"/>
  <c r="P976" i="5"/>
  <c r="O976" i="5"/>
  <c r="V978" i="5"/>
  <c r="O983" i="5"/>
  <c r="W984" i="5"/>
  <c r="U984" i="5"/>
  <c r="T986" i="5"/>
  <c r="P988" i="5"/>
  <c r="O988" i="5"/>
  <c r="O989" i="5"/>
  <c r="T994" i="5"/>
  <c r="P1002" i="5"/>
  <c r="O1002" i="5"/>
  <c r="V956" i="5"/>
  <c r="W960" i="5"/>
  <c r="T960" i="5"/>
  <c r="V960" i="5"/>
  <c r="U967" i="5"/>
  <c r="T971" i="5"/>
  <c r="U974" i="5"/>
  <c r="U924" i="5"/>
  <c r="T927" i="5"/>
  <c r="U932" i="5"/>
  <c r="T935" i="5"/>
  <c r="N937" i="5"/>
  <c r="U940" i="5"/>
  <c r="T943" i="5"/>
  <c r="N945" i="5"/>
  <c r="U948" i="5"/>
  <c r="T951" i="5"/>
  <c r="T957" i="5"/>
  <c r="T961" i="5"/>
  <c r="V967" i="5"/>
  <c r="U971" i="5"/>
  <c r="V974" i="5"/>
  <c r="V986" i="5"/>
  <c r="V994" i="5"/>
  <c r="P1009" i="5"/>
  <c r="O1009" i="5"/>
  <c r="N1009" i="5"/>
  <c r="W924" i="5"/>
  <c r="W932" i="5"/>
  <c r="W940" i="5"/>
  <c r="W948" i="5"/>
  <c r="V957" i="5"/>
  <c r="N960" i="5"/>
  <c r="V964" i="5"/>
  <c r="N967" i="5"/>
  <c r="W968" i="5"/>
  <c r="T968" i="5"/>
  <c r="V968" i="5"/>
  <c r="T972" i="5"/>
  <c r="N974" i="5"/>
  <c r="U975" i="5"/>
  <c r="T976" i="5"/>
  <c r="O979" i="5"/>
  <c r="W980" i="5"/>
  <c r="U980" i="5"/>
  <c r="T982" i="5"/>
  <c r="P984" i="5"/>
  <c r="O984" i="5"/>
  <c r="T988" i="5"/>
  <c r="P991" i="5"/>
  <c r="N991" i="5"/>
  <c r="P1010" i="5"/>
  <c r="O1010" i="5"/>
  <c r="P1018" i="5"/>
  <c r="O1018" i="5"/>
  <c r="P1026" i="5"/>
  <c r="O1026" i="5"/>
  <c r="P1034" i="5"/>
  <c r="O1034" i="5"/>
  <c r="P1042" i="5"/>
  <c r="O1042" i="5"/>
  <c r="P1050" i="5"/>
  <c r="O1050" i="5"/>
  <c r="N1005" i="5"/>
  <c r="N1013" i="5"/>
  <c r="N1021" i="5"/>
  <c r="N1029" i="5"/>
  <c r="N1037" i="5"/>
  <c r="N1045" i="5"/>
  <c r="N1053" i="5"/>
  <c r="P1004" i="5"/>
  <c r="O1004" i="5"/>
  <c r="O1005" i="5"/>
  <c r="P1012" i="5"/>
  <c r="O1012" i="5"/>
  <c r="O1013" i="5"/>
  <c r="P1020" i="5"/>
  <c r="O1020" i="5"/>
  <c r="O1021" i="5"/>
  <c r="P1028" i="5"/>
  <c r="O1028" i="5"/>
  <c r="O1029" i="5"/>
  <c r="P1036" i="5"/>
  <c r="O1036" i="5"/>
  <c r="O1037" i="5"/>
  <c r="P1044" i="5"/>
  <c r="O1044" i="5"/>
  <c r="O1045" i="5"/>
  <c r="P1052" i="5"/>
  <c r="O1052" i="5"/>
  <c r="O1053" i="5"/>
  <c r="P978" i="5"/>
  <c r="O978" i="5"/>
  <c r="P982" i="5"/>
  <c r="O982" i="5"/>
  <c r="P986" i="5"/>
  <c r="O986" i="5"/>
  <c r="P990" i="5"/>
  <c r="O990" i="5"/>
  <c r="U992" i="5"/>
  <c r="P994" i="5"/>
  <c r="O994" i="5"/>
  <c r="U996" i="5"/>
  <c r="P998" i="5"/>
  <c r="O998" i="5"/>
  <c r="O999" i="5"/>
  <c r="P1006" i="5"/>
  <c r="O1006" i="5"/>
  <c r="O1007" i="5"/>
  <c r="P1014" i="5"/>
  <c r="O1014" i="5"/>
  <c r="O1015" i="5"/>
  <c r="P1022" i="5"/>
  <c r="O1022" i="5"/>
  <c r="O1023" i="5"/>
  <c r="P1030" i="5"/>
  <c r="O1030" i="5"/>
  <c r="O1031" i="5"/>
  <c r="P1038" i="5"/>
  <c r="O1038" i="5"/>
  <c r="O1039" i="5"/>
  <c r="P1046" i="5"/>
  <c r="O1046" i="5"/>
  <c r="O1047" i="5"/>
  <c r="P1054" i="5"/>
  <c r="O1054" i="5"/>
  <c r="V992" i="5"/>
  <c r="V996" i="5"/>
  <c r="N1017" i="5"/>
  <c r="N1025" i="5"/>
  <c r="N1033" i="5"/>
  <c r="N1041" i="5"/>
  <c r="N1049" i="5"/>
  <c r="P1000" i="5"/>
  <c r="O1000" i="5"/>
  <c r="P1008" i="5"/>
  <c r="O1008" i="5"/>
  <c r="P1016" i="5"/>
  <c r="O1016" i="5"/>
  <c r="O1017" i="5"/>
  <c r="P1024" i="5"/>
  <c r="O1024" i="5"/>
  <c r="O1025" i="5"/>
  <c r="P1032" i="5"/>
  <c r="O1032" i="5"/>
  <c r="O1033" i="5"/>
  <c r="P1040" i="5"/>
  <c r="O1040" i="5"/>
  <c r="O1041" i="5"/>
  <c r="P1048" i="5"/>
  <c r="O1048" i="5"/>
  <c r="O1049" i="5"/>
  <c r="N1042" i="5"/>
  <c r="N1050" i="5"/>
  <c r="T998" i="5"/>
  <c r="T1000" i="5"/>
  <c r="T1002" i="5"/>
  <c r="T1004" i="5"/>
  <c r="T1006" i="5"/>
  <c r="T1008" i="5"/>
  <c r="T1010" i="5"/>
  <c r="T1012" i="5"/>
  <c r="T1014" i="5"/>
  <c r="T1016" i="5"/>
  <c r="T1018" i="5"/>
  <c r="T1020" i="5"/>
  <c r="T1022" i="5"/>
  <c r="T1024" i="5"/>
  <c r="T1026" i="5"/>
  <c r="T1028" i="5"/>
  <c r="T1030" i="5"/>
  <c r="T1032" i="5"/>
  <c r="T1034" i="5"/>
  <c r="T1036" i="5"/>
  <c r="T1038" i="5"/>
  <c r="T1040" i="5"/>
  <c r="T1042" i="5"/>
  <c r="T1044" i="5"/>
  <c r="T1046" i="5"/>
  <c r="T1048" i="5"/>
  <c r="T1050" i="5"/>
  <c r="T1052" i="5"/>
  <c r="T1054" i="5"/>
  <c r="L31" i="3" l="1"/>
  <c r="F64" i="3"/>
  <c r="I64" i="3"/>
  <c r="F63" i="3"/>
  <c r="I63" i="3"/>
  <c r="AC442" i="3" s="1"/>
  <c r="F5" i="3"/>
  <c r="I5" i="3"/>
  <c r="F49" i="3"/>
  <c r="I49" i="3"/>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I56" i="3"/>
  <c r="F78" i="3"/>
  <c r="I78" i="3"/>
  <c r="F35" i="3"/>
  <c r="E35" i="3" s="1"/>
  <c r="I35" i="3"/>
  <c r="H35" i="3" s="1"/>
  <c r="F32" i="3"/>
  <c r="I32" i="3"/>
  <c r="F42" i="3"/>
  <c r="Z420" i="3" s="1"/>
  <c r="I42" i="3"/>
  <c r="F52" i="3"/>
  <c r="Z430" i="3" s="1"/>
  <c r="I52" i="3"/>
  <c r="F59" i="3"/>
  <c r="I59" i="3"/>
  <c r="F45" i="3"/>
  <c r="Z423" i="3" s="1"/>
  <c r="I45" i="3"/>
  <c r="F57" i="3"/>
  <c r="Z435" i="3" s="1"/>
  <c r="I57" i="3"/>
  <c r="F43" i="3"/>
  <c r="I43" i="3"/>
  <c r="F60" i="3"/>
  <c r="I60" i="3"/>
  <c r="F44" i="3"/>
  <c r="Z422" i="3" s="1"/>
  <c r="I44" i="3"/>
  <c r="F65" i="3"/>
  <c r="I65" i="3"/>
  <c r="F66" i="3"/>
  <c r="I66" i="3"/>
  <c r="F58" i="3"/>
  <c r="Z436" i="3" s="1"/>
  <c r="I58" i="3"/>
  <c r="F36" i="3"/>
  <c r="E36" i="3" s="1"/>
  <c r="I36" i="3"/>
  <c r="H36" i="3" s="1"/>
  <c r="F31" i="3"/>
  <c r="I31" i="3"/>
  <c r="F51" i="3"/>
  <c r="I51" i="3"/>
  <c r="F77" i="3"/>
  <c r="Z472" i="3" s="1"/>
  <c r="I77" i="3"/>
  <c r="F62" i="3"/>
  <c r="I62" i="3"/>
  <c r="F61" i="3"/>
  <c r="I61" i="3"/>
  <c r="F50" i="3"/>
  <c r="Z428" i="3" s="1"/>
  <c r="I50" i="3"/>
  <c r="F70" i="3"/>
  <c r="I70" i="3"/>
  <c r="F34" i="3"/>
  <c r="E34" i="3" s="1"/>
  <c r="I34" i="3"/>
  <c r="H34" i="3" s="1"/>
  <c r="F76" i="3"/>
  <c r="F83" i="3" s="1"/>
  <c r="I76" i="3"/>
  <c r="F33" i="3"/>
  <c r="E33" i="3" s="1"/>
  <c r="I33" i="3"/>
  <c r="H33" i="3" s="1"/>
  <c r="F40" i="3"/>
  <c r="E40" i="3" s="1"/>
  <c r="I40" i="3"/>
  <c r="H40" i="3" s="1"/>
  <c r="L32" i="3"/>
  <c r="L112" i="3"/>
  <c r="E46" i="19"/>
  <c r="L75" i="17"/>
  <c r="AF470" i="17"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L15" i="3"/>
  <c r="V15" i="3" s="1"/>
  <c r="E23" i="19"/>
  <c r="E25" i="19"/>
  <c r="E27" i="19"/>
  <c r="E29" i="19"/>
  <c r="L94" i="3"/>
  <c r="AF447" i="3"/>
  <c r="E96" i="3"/>
  <c r="E348" i="3"/>
  <c r="AC439" i="3"/>
  <c r="AI439" i="3" s="1"/>
  <c r="AC447" i="3"/>
  <c r="Z447" i="3"/>
  <c r="AL439" i="3"/>
  <c r="Z479" i="3"/>
  <c r="Z439" i="3"/>
  <c r="AC479" i="3"/>
  <c r="L77" i="3"/>
  <c r="N77" i="3" s="1"/>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L7" i="3"/>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N40" i="3"/>
  <c r="AL472" i="3"/>
  <c r="Q54" i="3"/>
  <c r="AC427" i="3"/>
  <c r="E11" i="19"/>
  <c r="AC420" i="3"/>
  <c r="AC430" i="3"/>
  <c r="Z437" i="3"/>
  <c r="AC437" i="3"/>
  <c r="AC411" i="3"/>
  <c r="Z445" i="3"/>
  <c r="AC445" i="3"/>
  <c r="AL471" i="3"/>
  <c r="AO471" i="3" s="1"/>
  <c r="Q41" i="3"/>
  <c r="F13" i="19" s="1"/>
  <c r="AC422" i="3"/>
  <c r="AC469" i="3"/>
  <c r="Z412" i="3"/>
  <c r="Q13" i="3"/>
  <c r="F5" i="19" s="1"/>
  <c r="F8" i="19" s="1"/>
  <c r="Q83" i="3"/>
  <c r="F15" i="19" s="1"/>
  <c r="AC436" i="3"/>
  <c r="AC413" i="3"/>
  <c r="E7" i="19"/>
  <c r="Z429" i="3"/>
  <c r="Z443" i="3"/>
  <c r="AC443" i="3"/>
  <c r="O13" i="3"/>
  <c r="F4" i="19" s="1"/>
  <c r="P6" i="3"/>
  <c r="AC471" i="3"/>
  <c r="Z410" i="3"/>
  <c r="AC410" i="3"/>
  <c r="Z444" i="3"/>
  <c r="AC444" i="3"/>
  <c r="AC441" i="3"/>
  <c r="Z440" i="3"/>
  <c r="AC440" i="3"/>
  <c r="P15" i="3"/>
  <c r="Z442" i="3"/>
  <c r="Q24" i="3"/>
  <c r="F9" i="19" s="1"/>
  <c r="Z434" i="3"/>
  <c r="AC434" i="3"/>
  <c r="AC435" i="3"/>
  <c r="Z421" i="3"/>
  <c r="AC421" i="3"/>
  <c r="Z470" i="3"/>
  <c r="Z438" i="3"/>
  <c r="AC438" i="3"/>
  <c r="Z446" i="3"/>
  <c r="AC446"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AH419" i="17" s="1"/>
  <c r="AI419" i="17" s="1"/>
  <c r="J243" i="17"/>
  <c r="J246" i="17"/>
  <c r="L340" i="17"/>
  <c r="L331" i="17"/>
  <c r="L319" i="17"/>
  <c r="L299" i="17"/>
  <c r="L271" i="17"/>
  <c r="L262" i="17"/>
  <c r="M420" i="17" s="1"/>
  <c r="L254" i="17"/>
  <c r="L223" i="17"/>
  <c r="J95" i="17"/>
  <c r="L339" i="17"/>
  <c r="L330" i="17"/>
  <c r="L318" i="17"/>
  <c r="L298" i="17"/>
  <c r="L335" i="17"/>
  <c r="L326" i="17"/>
  <c r="M429" i="17" s="1"/>
  <c r="L307" i="17"/>
  <c r="L295" i="17"/>
  <c r="L276" i="17"/>
  <c r="L267" i="17"/>
  <c r="L258" i="17"/>
  <c r="L240" i="17"/>
  <c r="L219" i="17"/>
  <c r="L210" i="17"/>
  <c r="J99" i="17"/>
  <c r="J17" i="17"/>
  <c r="L334" i="17"/>
  <c r="L325" i="17"/>
  <c r="M428" i="17" s="1"/>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M421" i="17" s="1"/>
  <c r="L255" i="17"/>
  <c r="L215" i="17"/>
  <c r="L206" i="17"/>
  <c r="M412" i="17" s="1"/>
  <c r="L198" i="17"/>
  <c r="L142" i="17"/>
  <c r="L133" i="17"/>
  <c r="L122" i="17"/>
  <c r="L103" i="17"/>
  <c r="L78" i="17"/>
  <c r="L62" i="17"/>
  <c r="L53" i="17"/>
  <c r="L42" i="17"/>
  <c r="L23" i="17"/>
  <c r="L338" i="17"/>
  <c r="L279" i="17"/>
  <c r="L260" i="17"/>
  <c r="L221" i="17"/>
  <c r="L205" i="17"/>
  <c r="M411" i="17" s="1"/>
  <c r="L183" i="17"/>
  <c r="L145" i="17"/>
  <c r="L132" i="17"/>
  <c r="M408" i="17" s="1"/>
  <c r="L115" i="17"/>
  <c r="L95" i="17"/>
  <c r="S95" i="17" s="1"/>
  <c r="L64" i="17"/>
  <c r="L55" i="17"/>
  <c r="L21" i="17"/>
  <c r="L19" i="17"/>
  <c r="L56" i="17"/>
  <c r="L337" i="17"/>
  <c r="L278" i="17"/>
  <c r="L259" i="17"/>
  <c r="L220" i="17"/>
  <c r="L180" i="17"/>
  <c r="L143" i="17"/>
  <c r="L131" i="17"/>
  <c r="M407" i="17" s="1"/>
  <c r="L114" i="17"/>
  <c r="L94" i="17"/>
  <c r="L63" i="17"/>
  <c r="L52" i="17"/>
  <c r="M403" i="17" s="1"/>
  <c r="L36" i="17"/>
  <c r="L65" i="17"/>
  <c r="L328" i="17"/>
  <c r="L277" i="17"/>
  <c r="L256" i="17"/>
  <c r="L217" i="17"/>
  <c r="L177" i="17"/>
  <c r="L141" i="17"/>
  <c r="L130" i="17"/>
  <c r="M406" i="17" s="1"/>
  <c r="L113" i="17"/>
  <c r="L61" i="17"/>
  <c r="L51" i="17"/>
  <c r="M402" i="17" s="1"/>
  <c r="L35" i="17"/>
  <c r="L17" i="17"/>
  <c r="L98" i="17"/>
  <c r="L327" i="17"/>
  <c r="M430" i="17" s="1"/>
  <c r="L270" i="17"/>
  <c r="L253" i="17"/>
  <c r="L214" i="17"/>
  <c r="L202" i="17"/>
  <c r="L171" i="17"/>
  <c r="L140" i="17"/>
  <c r="L111" i="17"/>
  <c r="L60" i="17"/>
  <c r="L50" i="17"/>
  <c r="M401" i="17" s="1"/>
  <c r="L34" i="17"/>
  <c r="L15" i="17"/>
  <c r="J6" i="17"/>
  <c r="L296" i="17"/>
  <c r="L187" i="17"/>
  <c r="L43" i="17"/>
  <c r="J177" i="17"/>
  <c r="R177" i="17" s="1"/>
  <c r="L317" i="17"/>
  <c r="L269" i="17"/>
  <c r="L246" i="17"/>
  <c r="L213" i="17"/>
  <c r="L201" i="17"/>
  <c r="L156" i="17"/>
  <c r="AF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M413" i="17" s="1"/>
  <c r="L116" i="17"/>
  <c r="J94" i="17"/>
  <c r="L297" i="17"/>
  <c r="L264" i="17"/>
  <c r="L225" i="17"/>
  <c r="L211" i="17"/>
  <c r="L197" i="17"/>
  <c r="L147" i="17"/>
  <c r="L137" i="17"/>
  <c r="L120" i="17"/>
  <c r="L99" i="17"/>
  <c r="L66" i="17"/>
  <c r="L57" i="17"/>
  <c r="L44" i="17"/>
  <c r="L31" i="17"/>
  <c r="L261" i="17"/>
  <c r="M419" i="17" s="1"/>
  <c r="L146" i="17"/>
  <c r="L22" i="17"/>
  <c r="AK482" i="17"/>
  <c r="AF468" i="3"/>
  <c r="AF454" i="3"/>
  <c r="AH454" i="3" s="1"/>
  <c r="AI454" i="3" s="1"/>
  <c r="AF453" i="3"/>
  <c r="AH453" i="3" s="1"/>
  <c r="AI453" i="3" s="1"/>
  <c r="AF452" i="3"/>
  <c r="AF491" i="3"/>
  <c r="AF459" i="3"/>
  <c r="AH459" i="3" s="1"/>
  <c r="AI459" i="3" s="1"/>
  <c r="AF458" i="3"/>
  <c r="AH458" i="3" s="1"/>
  <c r="AI458" i="3" s="1"/>
  <c r="AF419" i="3"/>
  <c r="AH419" i="3" s="1"/>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M402" i="3" s="1"/>
  <c r="L50" i="3"/>
  <c r="M401" i="3" s="1"/>
  <c r="J15" i="3"/>
  <c r="J177" i="3"/>
  <c r="R177" i="3" s="1"/>
  <c r="J174" i="3"/>
  <c r="R174" i="3" s="1"/>
  <c r="J171" i="3"/>
  <c r="R171" i="3" s="1"/>
  <c r="J180" i="3"/>
  <c r="R180" i="3" s="1"/>
  <c r="F185" i="3"/>
  <c r="AF456" i="3"/>
  <c r="AH456" i="3" s="1"/>
  <c r="AI456" i="3" s="1"/>
  <c r="L71" i="3"/>
  <c r="L6" i="3"/>
  <c r="F193" i="3"/>
  <c r="E39" i="19" s="1"/>
  <c r="L340" i="3"/>
  <c r="L332" i="3"/>
  <c r="S332" i="3" s="1"/>
  <c r="L318" i="3"/>
  <c r="S318" i="3" s="1"/>
  <c r="L327" i="3"/>
  <c r="M430" i="3" s="1"/>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M428" i="3" s="1"/>
  <c r="L341" i="3"/>
  <c r="L326" i="3"/>
  <c r="M429" i="3" s="1"/>
  <c r="L276" i="3"/>
  <c r="L268" i="3"/>
  <c r="L262" i="3"/>
  <c r="M420" i="3" s="1"/>
  <c r="L279" i="3"/>
  <c r="L264" i="3"/>
  <c r="L263" i="3"/>
  <c r="M421" i="3" s="1"/>
  <c r="L270" i="3"/>
  <c r="L271" i="3"/>
  <c r="L257" i="3"/>
  <c r="L253" i="3"/>
  <c r="L258" i="3"/>
  <c r="L274" i="3"/>
  <c r="L281" i="3"/>
  <c r="L254" i="3"/>
  <c r="S254" i="3" s="1"/>
  <c r="L255" i="3"/>
  <c r="L273" i="3"/>
  <c r="L259" i="3"/>
  <c r="L269" i="3"/>
  <c r="L256" i="3"/>
  <c r="L275" i="3"/>
  <c r="L283" i="3"/>
  <c r="L260" i="3"/>
  <c r="L267" i="3"/>
  <c r="L266" i="3"/>
  <c r="N266" i="3" s="1"/>
  <c r="L261" i="3"/>
  <c r="M419" i="3" s="1"/>
  <c r="L277" i="3"/>
  <c r="L278" i="3"/>
  <c r="L211" i="3"/>
  <c r="S211" i="3" s="1"/>
  <c r="L220" i="3"/>
  <c r="L210" i="3"/>
  <c r="S210" i="3" s="1"/>
  <c r="L213" i="3"/>
  <c r="L212" i="3"/>
  <c r="C47" i="19" s="1"/>
  <c r="L221" i="3"/>
  <c r="L198" i="3"/>
  <c r="S198" i="3" s="1"/>
  <c r="L206" i="3"/>
  <c r="M412" i="3" s="1"/>
  <c r="L199" i="3"/>
  <c r="L222" i="3"/>
  <c r="L214" i="3"/>
  <c r="L223" i="3"/>
  <c r="L200" i="3"/>
  <c r="L208" i="3"/>
  <c r="L207" i="3"/>
  <c r="M413" i="3" s="1"/>
  <c r="L215" i="3"/>
  <c r="L201" i="3"/>
  <c r="L197" i="3"/>
  <c r="L217" i="3"/>
  <c r="L202" i="3"/>
  <c r="L218" i="3"/>
  <c r="L225" i="3"/>
  <c r="L219" i="3"/>
  <c r="L227" i="3"/>
  <c r="L205" i="3"/>
  <c r="M411" i="3" s="1"/>
  <c r="L136" i="3"/>
  <c r="L137" i="3"/>
  <c r="L111" i="3"/>
  <c r="L138" i="3"/>
  <c r="L146" i="3"/>
  <c r="L130" i="3"/>
  <c r="M406" i="3" s="1"/>
  <c r="L115" i="3"/>
  <c r="L132" i="3"/>
  <c r="M408" i="3" s="1"/>
  <c r="L139" i="3"/>
  <c r="L147" i="3"/>
  <c r="L131" i="3"/>
  <c r="M407" i="3" s="1"/>
  <c r="L116" i="3"/>
  <c r="L120" i="3"/>
  <c r="L140" i="3"/>
  <c r="L133" i="3"/>
  <c r="L141" i="3"/>
  <c r="L135" i="3"/>
  <c r="L142" i="3"/>
  <c r="L123" i="3"/>
  <c r="L122" i="3"/>
  <c r="L125" i="3"/>
  <c r="L145" i="3"/>
  <c r="L114" i="3"/>
  <c r="L143" i="3"/>
  <c r="L124" i="3"/>
  <c r="S124" i="3" s="1"/>
  <c r="C28" i="19"/>
  <c r="L144" i="3"/>
  <c r="L113" i="3"/>
  <c r="L95" i="3"/>
  <c r="AL408" i="3"/>
  <c r="AL440" i="3"/>
  <c r="F396" i="3"/>
  <c r="F250" i="3"/>
  <c r="Z441" i="3"/>
  <c r="AL427" i="3"/>
  <c r="Z469" i="3"/>
  <c r="AC470" i="3"/>
  <c r="AL412" i="3"/>
  <c r="L64" i="3"/>
  <c r="L57" i="3"/>
  <c r="L59" i="3"/>
  <c r="L70" i="3"/>
  <c r="L60" i="3"/>
  <c r="L61" i="3"/>
  <c r="L62" i="3"/>
  <c r="L58" i="3"/>
  <c r="L63" i="3"/>
  <c r="L56" i="3"/>
  <c r="L55" i="3"/>
  <c r="L65" i="3"/>
  <c r="L66" i="3"/>
  <c r="L43" i="3"/>
  <c r="L33" i="3"/>
  <c r="L44" i="3"/>
  <c r="L53" i="3"/>
  <c r="L36" i="3"/>
  <c r="L45" i="3"/>
  <c r="L35" i="3"/>
  <c r="L34" i="3"/>
  <c r="L52" i="3"/>
  <c r="M403" i="3" s="1"/>
  <c r="L42" i="3"/>
  <c r="S42" i="3" s="1"/>
  <c r="AL409" i="3"/>
  <c r="AL469" i="3"/>
  <c r="F107" i="3"/>
  <c r="E134" i="3" s="1"/>
  <c r="AL423" i="3"/>
  <c r="S247" i="3"/>
  <c r="R302" i="3"/>
  <c r="R301" i="3"/>
  <c r="K180" i="3"/>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K190" i="3"/>
  <c r="J302" i="3"/>
  <c r="K302" i="3" s="1"/>
  <c r="K243" i="3"/>
  <c r="K240" i="3"/>
  <c r="M240" i="3" s="1"/>
  <c r="J296" i="3"/>
  <c r="K177" i="3"/>
  <c r="J311" i="3"/>
  <c r="J297" i="3"/>
  <c r="R297" i="3" s="1"/>
  <c r="J307" i="3"/>
  <c r="R307" i="3" s="1"/>
  <c r="K174" i="3"/>
  <c r="U174" i="3" s="1"/>
  <c r="J306" i="3"/>
  <c r="J299" i="3"/>
  <c r="J294" i="3"/>
  <c r="J301" i="3"/>
  <c r="K301" i="3" s="1"/>
  <c r="K246" i="3"/>
  <c r="M246" i="3" s="1"/>
  <c r="AL420" i="3"/>
  <c r="AL441" i="3"/>
  <c r="AL436" i="3"/>
  <c r="AL430" i="3"/>
  <c r="AC472" i="3"/>
  <c r="AL433" i="3"/>
  <c r="E120" i="3"/>
  <c r="D104" i="3"/>
  <c r="E104" i="3" s="1"/>
  <c r="AL443" i="3"/>
  <c r="AL411" i="3"/>
  <c r="AL444" i="3"/>
  <c r="AL470" i="3"/>
  <c r="AC423" i="3"/>
  <c r="AL445" i="3"/>
  <c r="AL421" i="3"/>
  <c r="AC433" i="3"/>
  <c r="AL437" i="3"/>
  <c r="AL446" i="3"/>
  <c r="AL410" i="3"/>
  <c r="AL438" i="3"/>
  <c r="L171" i="3"/>
  <c r="L301" i="3"/>
  <c r="L298" i="3"/>
  <c r="N298" i="3" s="1"/>
  <c r="L299" i="3"/>
  <c r="N299" i="3" s="1"/>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78" i="3"/>
  <c r="J17" i="3"/>
  <c r="L23" i="3"/>
  <c r="L21" i="3"/>
  <c r="L22" i="3"/>
  <c r="L19" i="3"/>
  <c r="L17" i="3"/>
  <c r="J6" i="3"/>
  <c r="AL428" i="3"/>
  <c r="AL429" i="3"/>
  <c r="F154" i="3"/>
  <c r="J243" i="3"/>
  <c r="J246" i="3"/>
  <c r="F350" i="3"/>
  <c r="E350" i="3" s="1"/>
  <c r="E329" i="3"/>
  <c r="F230" i="3"/>
  <c r="L41" i="3" l="1"/>
  <c r="L148" i="17"/>
  <c r="L344" i="17"/>
  <c r="L280" i="17"/>
  <c r="L284" i="17" s="1"/>
  <c r="I54" i="3"/>
  <c r="I72" i="3"/>
  <c r="Z411" i="3"/>
  <c r="AC450" i="3"/>
  <c r="AI450" i="3" s="1"/>
  <c r="AC463" i="3"/>
  <c r="AI463" i="3" s="1"/>
  <c r="AC464" i="3"/>
  <c r="AI464" i="3" s="1"/>
  <c r="AC431" i="3"/>
  <c r="AI431" i="3" s="1"/>
  <c r="AC426" i="3"/>
  <c r="AC477" i="3"/>
  <c r="AI477" i="3" s="1"/>
  <c r="AC449" i="3"/>
  <c r="AI449" i="3" s="1"/>
  <c r="AC424" i="3"/>
  <c r="AC417" i="3"/>
  <c r="AC495" i="3"/>
  <c r="AI495" i="3" s="1"/>
  <c r="AC494" i="3"/>
  <c r="AI494" i="3" s="1"/>
  <c r="AC415" i="3"/>
  <c r="AC462" i="3"/>
  <c r="AC448" i="3"/>
  <c r="AI448" i="3" s="1"/>
  <c r="AC476" i="3"/>
  <c r="AI476" i="3" s="1"/>
  <c r="AC478" i="3"/>
  <c r="AI478" i="3" s="1"/>
  <c r="AC496" i="3"/>
  <c r="AI496" i="3" s="1"/>
  <c r="AC425" i="3"/>
  <c r="AI425" i="3" s="1"/>
  <c r="AC416" i="3"/>
  <c r="H32" i="3"/>
  <c r="L13" i="3"/>
  <c r="Z448" i="3"/>
  <c r="Z431" i="3"/>
  <c r="Z478" i="3"/>
  <c r="Z425" i="3"/>
  <c r="Z462" i="3"/>
  <c r="Z416" i="3"/>
  <c r="Z476" i="3"/>
  <c r="Z463" i="3"/>
  <c r="Z415" i="3"/>
  <c r="Z426" i="3"/>
  <c r="Z464" i="3"/>
  <c r="Z495" i="3"/>
  <c r="Z450" i="3"/>
  <c r="Z496" i="3"/>
  <c r="Z424" i="3"/>
  <c r="Z417" i="3"/>
  <c r="Z449" i="3"/>
  <c r="Z477" i="3"/>
  <c r="Z494" i="3"/>
  <c r="E32" i="3"/>
  <c r="D5" i="19"/>
  <c r="Z471" i="3"/>
  <c r="Z413" i="3"/>
  <c r="E64" i="19" s="1"/>
  <c r="G31" i="3"/>
  <c r="I41" i="3"/>
  <c r="H31" i="3"/>
  <c r="D31" i="3"/>
  <c r="F54" i="3"/>
  <c r="F72" i="3"/>
  <c r="E31" i="3"/>
  <c r="F41" i="3"/>
  <c r="E13" i="19" s="1"/>
  <c r="AF494" i="3"/>
  <c r="AH494" i="3" s="1"/>
  <c r="AF478" i="3"/>
  <c r="AF496" i="3"/>
  <c r="AN496" i="3" s="1"/>
  <c r="AO496" i="3" s="1"/>
  <c r="AF477" i="3"/>
  <c r="AF462" i="3"/>
  <c r="AF431" i="3"/>
  <c r="AH431" i="3" s="1"/>
  <c r="AF449" i="3"/>
  <c r="AH449" i="3" s="1"/>
  <c r="AF448" i="3"/>
  <c r="AF426" i="3"/>
  <c r="AN426" i="3" s="1"/>
  <c r="AO426" i="3" s="1"/>
  <c r="AF495" i="3"/>
  <c r="AH495" i="3" s="1"/>
  <c r="AF476" i="3"/>
  <c r="AH476" i="3" s="1"/>
  <c r="AF450" i="3"/>
  <c r="AF425" i="3"/>
  <c r="AF417" i="3"/>
  <c r="AF464" i="3"/>
  <c r="AH464" i="3" s="1"/>
  <c r="AF424" i="3"/>
  <c r="AF416" i="3"/>
  <c r="AF415" i="3"/>
  <c r="AE415" i="3" s="1"/>
  <c r="AF463" i="3"/>
  <c r="I83" i="3"/>
  <c r="D15" i="19" s="1"/>
  <c r="K394" i="17"/>
  <c r="I409" i="3"/>
  <c r="I406" i="3"/>
  <c r="I408" i="3"/>
  <c r="I405" i="3"/>
  <c r="C40" i="19"/>
  <c r="H40" i="19" s="1"/>
  <c r="K40" i="19" s="1"/>
  <c r="U171" i="3"/>
  <c r="V171" i="3" s="1"/>
  <c r="M180" i="3"/>
  <c r="U180" i="3"/>
  <c r="V180" i="3" s="1"/>
  <c r="V174" i="3"/>
  <c r="M177" i="3"/>
  <c r="U177" i="3"/>
  <c r="V177" i="3" s="1"/>
  <c r="N403" i="3"/>
  <c r="AC428" i="3"/>
  <c r="N401" i="3"/>
  <c r="AC429" i="3"/>
  <c r="N402" i="3"/>
  <c r="M437" i="3"/>
  <c r="M422" i="3"/>
  <c r="M409" i="3"/>
  <c r="M433" i="3"/>
  <c r="M405" i="3"/>
  <c r="M435" i="3"/>
  <c r="M418" i="3"/>
  <c r="M414" i="3"/>
  <c r="M436" i="3"/>
  <c r="M410" i="3"/>
  <c r="C24" i="19"/>
  <c r="G24" i="19" s="1"/>
  <c r="J24" i="19" s="1"/>
  <c r="C7" i="19"/>
  <c r="H7" i="19" s="1"/>
  <c r="K7" i="19" s="1"/>
  <c r="M423" i="3"/>
  <c r="C41" i="19"/>
  <c r="H41" i="19" s="1"/>
  <c r="K41" i="19" s="1"/>
  <c r="L68" i="17"/>
  <c r="N68" i="17" s="1"/>
  <c r="L224" i="17"/>
  <c r="S224" i="17" s="1"/>
  <c r="F64" i="19"/>
  <c r="C53" i="19"/>
  <c r="H53" i="19" s="1"/>
  <c r="K53" i="19" s="1"/>
  <c r="C54" i="19"/>
  <c r="H54" i="19" s="1"/>
  <c r="K54" i="19" s="1"/>
  <c r="S394" i="17"/>
  <c r="M436" i="17"/>
  <c r="N394" i="17"/>
  <c r="N359" i="17"/>
  <c r="L361" i="17"/>
  <c r="S359" i="17"/>
  <c r="S376" i="17"/>
  <c r="L396" i="17"/>
  <c r="K376" i="17"/>
  <c r="N376" i="17"/>
  <c r="J409" i="17"/>
  <c r="N317" i="17"/>
  <c r="J405" i="17"/>
  <c r="J408" i="17"/>
  <c r="M422" i="17"/>
  <c r="M423" i="17"/>
  <c r="M435" i="17"/>
  <c r="M405" i="17"/>
  <c r="M410" i="17"/>
  <c r="M409" i="17"/>
  <c r="M433" i="17"/>
  <c r="M437" i="17"/>
  <c r="J406" i="17"/>
  <c r="M414" i="17"/>
  <c r="M418" i="17"/>
  <c r="L96" i="3"/>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AN470" i="3" s="1"/>
  <c r="AO470" i="3" s="1"/>
  <c r="N75" i="3"/>
  <c r="S122" i="3"/>
  <c r="N122" i="3"/>
  <c r="AF472" i="3"/>
  <c r="AN472" i="3" s="1"/>
  <c r="S77" i="3"/>
  <c r="AI460" i="3"/>
  <c r="B30" i="2"/>
  <c r="AN447" i="17"/>
  <c r="AO447" i="17" s="1"/>
  <c r="AF414" i="3"/>
  <c r="C66" i="19" s="1"/>
  <c r="R12" i="3"/>
  <c r="AN473" i="3"/>
  <c r="AN470" i="17"/>
  <c r="AO470" i="17" s="1"/>
  <c r="AH470" i="17"/>
  <c r="AI470" i="17" s="1"/>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148" i="17"/>
  <c r="N148" i="17"/>
  <c r="S323" i="17"/>
  <c r="N323" i="17"/>
  <c r="S346" i="17"/>
  <c r="N346" i="17"/>
  <c r="N272" i="3"/>
  <c r="S272" i="3"/>
  <c r="AN494" i="17"/>
  <c r="AO494" i="17" s="1"/>
  <c r="AH494" i="17"/>
  <c r="AI494" i="17" s="1"/>
  <c r="S77" i="17"/>
  <c r="AF472" i="17"/>
  <c r="N77" i="17"/>
  <c r="S47" i="3"/>
  <c r="N47" i="3"/>
  <c r="K9" i="17"/>
  <c r="R9" i="17"/>
  <c r="M9" i="17"/>
  <c r="K10" i="17"/>
  <c r="R10" i="17"/>
  <c r="M10" i="17"/>
  <c r="S38" i="17"/>
  <c r="K38" i="17"/>
  <c r="N38" i="17"/>
  <c r="N67" i="3"/>
  <c r="S67" i="3"/>
  <c r="S150" i="17"/>
  <c r="N150" i="17"/>
  <c r="S155" i="17"/>
  <c r="AF473" i="17"/>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N37" i="17"/>
  <c r="S11" i="17"/>
  <c r="N11" i="17"/>
  <c r="S11" i="3"/>
  <c r="N11" i="3"/>
  <c r="S117" i="17"/>
  <c r="N117" i="17"/>
  <c r="S117" i="3"/>
  <c r="N117" i="3"/>
  <c r="S119" i="17"/>
  <c r="N119" i="17"/>
  <c r="S119" i="3"/>
  <c r="N119" i="3"/>
  <c r="N160" i="17"/>
  <c r="S160" i="17"/>
  <c r="S344" i="17"/>
  <c r="N344"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S216" i="17"/>
  <c r="AK415" i="3"/>
  <c r="AH475" i="3"/>
  <c r="AI475" i="3" s="1"/>
  <c r="R306" i="3"/>
  <c r="R299" i="3"/>
  <c r="M174" i="3"/>
  <c r="S212" i="3"/>
  <c r="S197" i="3"/>
  <c r="R294" i="3"/>
  <c r="R296" i="3"/>
  <c r="AN475" i="3"/>
  <c r="AH473" i="3"/>
  <c r="AI473" i="3" s="1"/>
  <c r="AH474" i="3"/>
  <c r="AI474" i="3" s="1"/>
  <c r="AN474" i="3"/>
  <c r="E15" i="19"/>
  <c r="AF478" i="17"/>
  <c r="AF477" i="17"/>
  <c r="AF476" i="17"/>
  <c r="AH474" i="17"/>
  <c r="AI474" i="17" s="1"/>
  <c r="AN474" i="17"/>
  <c r="AF449" i="17"/>
  <c r="AF450" i="17"/>
  <c r="AF448" i="17"/>
  <c r="AI424" i="3"/>
  <c r="AF426" i="17"/>
  <c r="AF424" i="17"/>
  <c r="AF425" i="17"/>
  <c r="AL432" i="3"/>
  <c r="AN419" i="3"/>
  <c r="AO419" i="3" s="1"/>
  <c r="AK417" i="3"/>
  <c r="AF417" i="17"/>
  <c r="AF415" i="17"/>
  <c r="AF416" i="17"/>
  <c r="N12" i="3"/>
  <c r="AK414" i="3"/>
  <c r="AK416" i="3"/>
  <c r="S156" i="17"/>
  <c r="N156" i="17"/>
  <c r="N156" i="3"/>
  <c r="S156" i="3"/>
  <c r="E4" i="19"/>
  <c r="D9"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S101" i="17"/>
  <c r="N101" i="17"/>
  <c r="S311" i="17"/>
  <c r="N311" i="17"/>
  <c r="S59" i="17"/>
  <c r="AF437" i="17"/>
  <c r="N59" i="17"/>
  <c r="N246" i="17"/>
  <c r="N247" i="17" s="1"/>
  <c r="L247" i="17"/>
  <c r="S246" i="17"/>
  <c r="J13" i="17"/>
  <c r="K6" i="17"/>
  <c r="R6" i="17"/>
  <c r="M6" i="17"/>
  <c r="N140" i="17"/>
  <c r="S140" i="17"/>
  <c r="N98" i="17"/>
  <c r="S98" i="17"/>
  <c r="S177" i="17"/>
  <c r="L178" i="17"/>
  <c r="N178" i="17" s="1"/>
  <c r="N177" i="17"/>
  <c r="S36" i="17"/>
  <c r="AF413" i="17"/>
  <c r="N36" i="17"/>
  <c r="S205" i="17"/>
  <c r="N205" i="17"/>
  <c r="O411" i="17" s="1"/>
  <c r="AF441" i="17"/>
  <c r="S62" i="17"/>
  <c r="N62" i="17"/>
  <c r="S206" i="17"/>
  <c r="N206" i="17"/>
  <c r="O412" i="17" s="1"/>
  <c r="S320" i="17"/>
  <c r="N320" i="17"/>
  <c r="M98" i="17"/>
  <c r="K98" i="17"/>
  <c r="R98" i="17"/>
  <c r="S333" i="17"/>
  <c r="N333" i="17"/>
  <c r="S136" i="17"/>
  <c r="N136" i="17"/>
  <c r="S266" i="17"/>
  <c r="N266" i="17"/>
  <c r="S267" i="17"/>
  <c r="N267" i="17"/>
  <c r="S262" i="17"/>
  <c r="N262" i="17"/>
  <c r="O420" i="17" s="1"/>
  <c r="AN490" i="17"/>
  <c r="AO490" i="17" s="1"/>
  <c r="AH490" i="17"/>
  <c r="AI490" i="17" s="1"/>
  <c r="S261" i="17"/>
  <c r="N261" i="17"/>
  <c r="O419" i="17" s="1"/>
  <c r="S147" i="17"/>
  <c r="N147" i="17"/>
  <c r="S116" i="17"/>
  <c r="N116" i="17"/>
  <c r="S123" i="17"/>
  <c r="N123" i="17"/>
  <c r="S71" i="17"/>
  <c r="N71" i="17"/>
  <c r="S269" i="17"/>
  <c r="N269" i="17"/>
  <c r="S15" i="17"/>
  <c r="N15" i="17"/>
  <c r="L172" i="17"/>
  <c r="S171" i="17"/>
  <c r="L184" i="17"/>
  <c r="N171" i="17"/>
  <c r="S17" i="17"/>
  <c r="N17" i="17"/>
  <c r="AF430" i="17"/>
  <c r="N52" i="17"/>
  <c r="O403" i="17" s="1"/>
  <c r="S52" i="17"/>
  <c r="S220" i="17"/>
  <c r="N220" i="17"/>
  <c r="AF433" i="17"/>
  <c r="S55" i="17"/>
  <c r="N55" i="17"/>
  <c r="S221" i="17"/>
  <c r="N221" i="17"/>
  <c r="S78" i="17"/>
  <c r="AF469" i="17"/>
  <c r="N78" i="17"/>
  <c r="S215" i="17"/>
  <c r="N215" i="17"/>
  <c r="S332" i="17"/>
  <c r="N332" i="17"/>
  <c r="S342" i="17"/>
  <c r="N342" i="17"/>
  <c r="S144" i="17"/>
  <c r="N144" i="17"/>
  <c r="S275" i="17"/>
  <c r="N275" i="17"/>
  <c r="S276" i="17"/>
  <c r="N276" i="17"/>
  <c r="S271" i="17"/>
  <c r="N271" i="17"/>
  <c r="AN452" i="17"/>
  <c r="AF465" i="17"/>
  <c r="AH452" i="17"/>
  <c r="AI452" i="17" s="1"/>
  <c r="AN454" i="17"/>
  <c r="AO454" i="17" s="1"/>
  <c r="AH454" i="17"/>
  <c r="AI454" i="17" s="1"/>
  <c r="K249" i="17"/>
  <c r="M243" i="17"/>
  <c r="AF408" i="17"/>
  <c r="L41" i="17"/>
  <c r="S31" i="17"/>
  <c r="N31" i="17"/>
  <c r="S197" i="17"/>
  <c r="L209" i="17"/>
  <c r="S207" i="17"/>
  <c r="N207" i="17"/>
  <c r="O413" i="17" s="1"/>
  <c r="S138" i="17"/>
  <c r="N138" i="17"/>
  <c r="J184" i="17"/>
  <c r="R171" i="17"/>
  <c r="S102" i="17"/>
  <c r="N102" i="17"/>
  <c r="S317" i="17"/>
  <c r="L329" i="17"/>
  <c r="S34" i="17"/>
  <c r="AF411" i="17"/>
  <c r="N34" i="17"/>
  <c r="S202" i="17"/>
  <c r="N202" i="17"/>
  <c r="AF412" i="17"/>
  <c r="S35" i="17"/>
  <c r="N35" i="17"/>
  <c r="S217" i="17"/>
  <c r="N217" i="17"/>
  <c r="S63" i="17"/>
  <c r="AF442" i="17"/>
  <c r="N63" i="17"/>
  <c r="S259" i="17"/>
  <c r="N259" i="17"/>
  <c r="S64" i="17"/>
  <c r="AF443" i="17"/>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N44" i="17"/>
  <c r="S211" i="17"/>
  <c r="N211" i="17"/>
  <c r="L13" i="17"/>
  <c r="J31" i="17" s="1"/>
  <c r="S6" i="17"/>
  <c r="N6" i="17"/>
  <c r="S135" i="17"/>
  <c r="L152" i="17"/>
  <c r="N135" i="17"/>
  <c r="S125" i="17"/>
  <c r="N125" i="17"/>
  <c r="S50" i="17"/>
  <c r="N50" i="17"/>
  <c r="O401" i="17" s="1"/>
  <c r="AF428" i="17"/>
  <c r="S214" i="17"/>
  <c r="N214" i="17"/>
  <c r="S51" i="17"/>
  <c r="AF429" i="17"/>
  <c r="N51" i="17"/>
  <c r="O402" i="17" s="1"/>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N57" i="17"/>
  <c r="S225" i="17"/>
  <c r="N225" i="17"/>
  <c r="S32" i="17"/>
  <c r="AF409" i="17"/>
  <c r="N32" i="17"/>
  <c r="S199" i="17"/>
  <c r="N199" i="17"/>
  <c r="N222" i="17"/>
  <c r="S222" i="17"/>
  <c r="S139" i="17"/>
  <c r="N139" i="17"/>
  <c r="S60" i="17"/>
  <c r="AF438" i="17"/>
  <c r="N60" i="17"/>
  <c r="L265" i="17"/>
  <c r="S253" i="17"/>
  <c r="AF440" i="17"/>
  <c r="S61" i="17"/>
  <c r="N61" i="17"/>
  <c r="S277" i="17"/>
  <c r="N277" i="17"/>
  <c r="S114" i="17"/>
  <c r="N114" i="17"/>
  <c r="S337" i="17"/>
  <c r="N337" i="17"/>
  <c r="S115" i="17"/>
  <c r="N115" i="17"/>
  <c r="S338" i="17"/>
  <c r="N338" i="17"/>
  <c r="S133" i="17"/>
  <c r="N133" i="17"/>
  <c r="S263" i="17"/>
  <c r="N263" i="17"/>
  <c r="O421" i="17" s="1"/>
  <c r="S274" i="17"/>
  <c r="N274" i="17"/>
  <c r="S208" i="17"/>
  <c r="N208" i="17"/>
  <c r="S325" i="17"/>
  <c r="N325" i="17"/>
  <c r="O428" i="17" s="1"/>
  <c r="S210" i="17"/>
  <c r="N210" i="17"/>
  <c r="S326" i="17"/>
  <c r="N326" i="17"/>
  <c r="O429" i="17" s="1"/>
  <c r="S298" i="17"/>
  <c r="N298" i="17"/>
  <c r="S319" i="17"/>
  <c r="N319" i="17"/>
  <c r="AN491" i="17"/>
  <c r="AO491" i="17" s="1"/>
  <c r="AH491" i="17"/>
  <c r="AI491" i="17" s="1"/>
  <c r="R299" i="17"/>
  <c r="K299" i="17"/>
  <c r="M299" i="17"/>
  <c r="S66" i="17"/>
  <c r="AF445" i="17"/>
  <c r="N66" i="17"/>
  <c r="S264" i="17"/>
  <c r="N264" i="17"/>
  <c r="S45" i="17"/>
  <c r="N45" i="17"/>
  <c r="AF423" i="17"/>
  <c r="S212" i="17"/>
  <c r="N212" i="17"/>
  <c r="S43" i="17"/>
  <c r="N43" i="17"/>
  <c r="AF421" i="17"/>
  <c r="AF471" i="17"/>
  <c r="N76" i="17"/>
  <c r="S76" i="17"/>
  <c r="N270" i="17"/>
  <c r="S270" i="17"/>
  <c r="S113" i="17"/>
  <c r="N113" i="17"/>
  <c r="S328" i="17"/>
  <c r="N328" i="17"/>
  <c r="N131" i="17"/>
  <c r="O407" i="17" s="1"/>
  <c r="S131" i="17"/>
  <c r="S56" i="17"/>
  <c r="AF434" i="17"/>
  <c r="N56" i="17"/>
  <c r="S132" i="17"/>
  <c r="N132" i="17"/>
  <c r="O408" i="17" s="1"/>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N58" i="17"/>
  <c r="S243" i="17"/>
  <c r="S244" i="17" s="1"/>
  <c r="L244" i="17"/>
  <c r="L249" i="17"/>
  <c r="N243" i="17"/>
  <c r="N244" i="17" s="1"/>
  <c r="S33" i="17"/>
  <c r="AF410" i="17"/>
  <c r="N33" i="17"/>
  <c r="S201" i="17"/>
  <c r="N201" i="17"/>
  <c r="L188" i="17"/>
  <c r="N187" i="17"/>
  <c r="S187" i="17"/>
  <c r="S111" i="17"/>
  <c r="L121" i="17"/>
  <c r="N111" i="17"/>
  <c r="S327" i="17"/>
  <c r="N327" i="17"/>
  <c r="O430" i="17" s="1"/>
  <c r="S130" i="17"/>
  <c r="N130" i="17"/>
  <c r="O406" i="17" s="1"/>
  <c r="S143" i="17"/>
  <c r="N143" i="17"/>
  <c r="S19" i="17"/>
  <c r="N19" i="17"/>
  <c r="S145" i="17"/>
  <c r="N145" i="17"/>
  <c r="AF420" i="17"/>
  <c r="N42" i="17"/>
  <c r="S157" i="17"/>
  <c r="N157" i="17"/>
  <c r="N162" i="17" s="1"/>
  <c r="S281" i="17"/>
  <c r="N281" i="17"/>
  <c r="S302" i="17"/>
  <c r="N302" i="17"/>
  <c r="S112" i="17"/>
  <c r="N112" i="17"/>
  <c r="S227" i="17"/>
  <c r="N227" i="17"/>
  <c r="L241" i="17"/>
  <c r="S240" i="17"/>
  <c r="S241" i="17" s="1"/>
  <c r="N240" i="17"/>
  <c r="N241" i="17" s="1"/>
  <c r="L348" i="17"/>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S70" i="17"/>
  <c r="N70" i="17"/>
  <c r="S268" i="17"/>
  <c r="N268" i="17"/>
  <c r="S49" i="17"/>
  <c r="AF427" i="17"/>
  <c r="N49" i="17"/>
  <c r="N213" i="17"/>
  <c r="S213" i="17"/>
  <c r="S296" i="17"/>
  <c r="N296" i="17"/>
  <c r="S141" i="17"/>
  <c r="N141" i="17"/>
  <c r="S65" i="17"/>
  <c r="AF444" i="17"/>
  <c r="N65" i="17"/>
  <c r="L181" i="17"/>
  <c r="S180" i="17"/>
  <c r="N180" i="17"/>
  <c r="S21" i="17"/>
  <c r="N21" i="17"/>
  <c r="S183" i="17"/>
  <c r="N183" i="17"/>
  <c r="S53" i="17"/>
  <c r="AF431" i="17"/>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AN421" i="3" s="1"/>
  <c r="AO421" i="3" s="1"/>
  <c r="N35" i="3"/>
  <c r="AF412" i="3"/>
  <c r="AF423" i="3"/>
  <c r="N36" i="3"/>
  <c r="AF413" i="3"/>
  <c r="AF428" i="3"/>
  <c r="AN428" i="3" s="1"/>
  <c r="AO428" i="3" s="1"/>
  <c r="AF429" i="3"/>
  <c r="AF420" i="3"/>
  <c r="AF422" i="3"/>
  <c r="AF427" i="3"/>
  <c r="AF430" i="3"/>
  <c r="N33" i="3"/>
  <c r="AF410" i="3"/>
  <c r="AH410" i="3" s="1"/>
  <c r="AI410" i="3" s="1"/>
  <c r="AF434" i="3"/>
  <c r="AF445" i="3"/>
  <c r="AN445" i="3" s="1"/>
  <c r="AO445" i="3" s="1"/>
  <c r="N44" i="3"/>
  <c r="AF442" i="3"/>
  <c r="AH442" i="3" s="1"/>
  <c r="AI442" i="3" s="1"/>
  <c r="AF443" i="3"/>
  <c r="AH443" i="3" s="1"/>
  <c r="AI443" i="3" s="1"/>
  <c r="N58" i="3"/>
  <c r="AF436" i="3"/>
  <c r="AF441" i="3"/>
  <c r="AN441" i="3" s="1"/>
  <c r="AO441" i="3" s="1"/>
  <c r="N43" i="3"/>
  <c r="AF440" i="3"/>
  <c r="AN440" i="3" s="1"/>
  <c r="AO440" i="3" s="1"/>
  <c r="S71" i="3"/>
  <c r="AF438" i="3"/>
  <c r="N45" i="3"/>
  <c r="AF444" i="3"/>
  <c r="AN444" i="3" s="1"/>
  <c r="AO444" i="3" s="1"/>
  <c r="AF446" i="3"/>
  <c r="AH446" i="3" s="1"/>
  <c r="AI446" i="3" s="1"/>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K193" i="3" s="1"/>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C30" i="19" s="1"/>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C21" i="19" s="1"/>
  <c r="M94" i="3"/>
  <c r="K95" i="3"/>
  <c r="S95" i="3"/>
  <c r="S96" i="3" s="1"/>
  <c r="S97" i="3" s="1"/>
  <c r="N94" i="3"/>
  <c r="N55" i="3"/>
  <c r="S55" i="3"/>
  <c r="AF469" i="3"/>
  <c r="S59" i="3"/>
  <c r="S58" i="3"/>
  <c r="S56" i="3"/>
  <c r="N56" i="3"/>
  <c r="N57" i="3"/>
  <c r="S57" i="3"/>
  <c r="AF471" i="3"/>
  <c r="AN471" i="3" s="1"/>
  <c r="S76" i="3"/>
  <c r="N76" i="3"/>
  <c r="S43" i="3"/>
  <c r="S36" i="3"/>
  <c r="S44" i="3"/>
  <c r="S45" i="3"/>
  <c r="L54" i="3"/>
  <c r="S35" i="3"/>
  <c r="S33" i="3"/>
  <c r="S32" i="3"/>
  <c r="N31" i="3"/>
  <c r="S31" i="3"/>
  <c r="S34" i="3"/>
  <c r="R17" i="3"/>
  <c r="M17" i="3"/>
  <c r="N22" i="3"/>
  <c r="S22" i="3"/>
  <c r="S21" i="3"/>
  <c r="L24" i="3"/>
  <c r="N21" i="3"/>
  <c r="N23" i="3"/>
  <c r="S23" i="3"/>
  <c r="N19" i="3"/>
  <c r="S19" i="3"/>
  <c r="N17" i="3"/>
  <c r="S17" i="3"/>
  <c r="K17" i="3"/>
  <c r="N15" i="3"/>
  <c r="S15" i="3"/>
  <c r="K6" i="3"/>
  <c r="J13" i="3"/>
  <c r="R6" i="3"/>
  <c r="M6" i="3"/>
  <c r="S6" i="3"/>
  <c r="J184" i="3"/>
  <c r="R184" i="3" s="1"/>
  <c r="N361" i="3"/>
  <c r="S361" i="3"/>
  <c r="F232" i="3"/>
  <c r="AH478" i="3" l="1"/>
  <c r="AF465" i="3"/>
  <c r="AN449" i="3"/>
  <c r="AO449" i="3" s="1"/>
  <c r="AH450" i="3"/>
  <c r="AN494" i="3"/>
  <c r="AO494" i="3" s="1"/>
  <c r="AN476" i="3"/>
  <c r="AO476" i="3" s="1"/>
  <c r="AH448" i="3"/>
  <c r="AH477" i="3"/>
  <c r="AH463" i="3"/>
  <c r="AH496" i="3"/>
  <c r="AH426" i="3"/>
  <c r="E5" i="19"/>
  <c r="AN478" i="3"/>
  <c r="AN495" i="3"/>
  <c r="AO495" i="3" s="1"/>
  <c r="I27" i="3"/>
  <c r="AC406" i="3" s="1"/>
  <c r="G32" i="3"/>
  <c r="AI462" i="3"/>
  <c r="AC465" i="3"/>
  <c r="E9" i="19"/>
  <c r="E12" i="19" s="1"/>
  <c r="D32" i="3"/>
  <c r="Z465" i="3"/>
  <c r="AH425" i="3"/>
  <c r="F74" i="3"/>
  <c r="I74" i="3"/>
  <c r="F27" i="3"/>
  <c r="E27" i="3" s="1"/>
  <c r="AH462" i="3"/>
  <c r="AH424" i="3"/>
  <c r="AI426" i="3"/>
  <c r="AH429" i="3"/>
  <c r="AI429" i="3" s="1"/>
  <c r="G40" i="19"/>
  <c r="J40" i="19" s="1"/>
  <c r="N280" i="17"/>
  <c r="N284" i="17" s="1"/>
  <c r="S280" i="17"/>
  <c r="I40" i="19"/>
  <c r="L40" i="19" s="1"/>
  <c r="L72" i="17"/>
  <c r="L74" i="17" s="1"/>
  <c r="H24" i="19"/>
  <c r="K24" i="19" s="1"/>
  <c r="D13" i="19"/>
  <c r="N404" i="3"/>
  <c r="I24" i="19"/>
  <c r="L24" i="19" s="1"/>
  <c r="I7" i="19"/>
  <c r="L7" i="19" s="1"/>
  <c r="G7" i="19"/>
  <c r="J7" i="19" s="1"/>
  <c r="S68" i="17"/>
  <c r="S72" i="17" s="1"/>
  <c r="M439" i="3"/>
  <c r="N405" i="3" s="1"/>
  <c r="C38" i="19"/>
  <c r="I38" i="19" s="1"/>
  <c r="L38" i="19" s="1"/>
  <c r="C9" i="19"/>
  <c r="C12" i="19" s="1"/>
  <c r="W33" i="3"/>
  <c r="W35" i="3" s="1"/>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E6" i="19"/>
  <c r="M439" i="17"/>
  <c r="N439" i="17" s="1"/>
  <c r="O432" i="17"/>
  <c r="O414" i="17"/>
  <c r="O409" i="17"/>
  <c r="O404" i="17"/>
  <c r="O435" i="17"/>
  <c r="O436" i="17"/>
  <c r="O437" i="17"/>
  <c r="O422" i="17"/>
  <c r="E8" i="19"/>
  <c r="D8" i="19"/>
  <c r="W19" i="3"/>
  <c r="D4" i="19"/>
  <c r="V19" i="3"/>
  <c r="C4" i="19"/>
  <c r="I4" i="19" s="1"/>
  <c r="L4" i="19" s="1"/>
  <c r="V20" i="3"/>
  <c r="C22" i="19"/>
  <c r="I22" i="19" s="1"/>
  <c r="L22" i="19" s="1"/>
  <c r="C5" i="19"/>
  <c r="C8" i="19" s="1"/>
  <c r="W20" i="3"/>
  <c r="C64" i="19"/>
  <c r="G64" i="19" s="1"/>
  <c r="J64" i="19" s="1"/>
  <c r="H30" i="19"/>
  <c r="K30" i="19" s="1"/>
  <c r="C31" i="19"/>
  <c r="I30" i="19"/>
  <c r="L30" i="19" s="1"/>
  <c r="G30" i="19"/>
  <c r="J30" i="19" s="1"/>
  <c r="H44" i="19"/>
  <c r="K44" i="19" s="1"/>
  <c r="I44" i="19"/>
  <c r="L44" i="19" s="1"/>
  <c r="G44" i="19"/>
  <c r="J44" i="19" s="1"/>
  <c r="H51" i="19"/>
  <c r="K51" i="19" s="1"/>
  <c r="I51" i="19"/>
  <c r="L51" i="19" s="1"/>
  <c r="G51" i="19"/>
  <c r="J51" i="19" s="1"/>
  <c r="H21" i="19"/>
  <c r="K21" i="19" s="1"/>
  <c r="I21" i="19"/>
  <c r="L21" i="19" s="1"/>
  <c r="G21" i="19"/>
  <c r="J2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I66" i="19"/>
  <c r="L66" i="19" s="1"/>
  <c r="H66" i="19"/>
  <c r="K66" i="19" s="1"/>
  <c r="G66" i="19"/>
  <c r="J66" i="19" s="1"/>
  <c r="D12" i="19"/>
  <c r="AH470" i="3"/>
  <c r="AI470" i="3" s="1"/>
  <c r="AH414" i="3"/>
  <c r="AI414" i="3" s="1"/>
  <c r="J31" i="3"/>
  <c r="L158" i="3"/>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C432" i="3"/>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H432" i="17" s="1"/>
  <c r="AI432" i="17" s="1"/>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Z432" i="3"/>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AG415" i="3" s="1"/>
  <c r="Y415" i="3"/>
  <c r="AM415" i="3" s="1"/>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S27" i="17" s="1"/>
  <c r="S28" i="17" s="1"/>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L350" i="17"/>
  <c r="S329" i="17"/>
  <c r="N329" i="17"/>
  <c r="AE408" i="17"/>
  <c r="AN408" i="17"/>
  <c r="AO408" i="17" s="1"/>
  <c r="AF418" i="17"/>
  <c r="AH408" i="17"/>
  <c r="AI408" i="17" s="1"/>
  <c r="L185" i="17"/>
  <c r="L193" i="17"/>
  <c r="S184" i="17"/>
  <c r="N184" i="17"/>
  <c r="N185" i="17" s="1"/>
  <c r="M13" i="17"/>
  <c r="M14" i="17" s="1"/>
  <c r="AN437" i="17"/>
  <c r="AO437" i="17" s="1"/>
  <c r="AH437" i="17"/>
  <c r="AI437" i="17" s="1"/>
  <c r="R96" i="17"/>
  <c r="R97" i="17" s="1"/>
  <c r="AN444" i="17"/>
  <c r="AO444" i="17" s="1"/>
  <c r="AH444" i="17"/>
  <c r="AI444" i="17" s="1"/>
  <c r="S348" i="17"/>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S152" i="17"/>
  <c r="N152" i="17"/>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H433" i="17"/>
  <c r="AI433" i="17" s="1"/>
  <c r="K284" i="17"/>
  <c r="S284" i="17"/>
  <c r="AN427" i="17"/>
  <c r="AO427" i="17" s="1"/>
  <c r="AH427" i="17"/>
  <c r="AI427" i="17" s="1"/>
  <c r="L154" i="17"/>
  <c r="S121" i="17"/>
  <c r="N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L27" i="3"/>
  <c r="K41" i="3" s="1"/>
  <c r="S249" i="3"/>
  <c r="K376" i="3"/>
  <c r="S376" i="3"/>
  <c r="N376" i="3"/>
  <c r="N134" i="3"/>
  <c r="N249" i="3"/>
  <c r="N250" i="3" s="1"/>
  <c r="L396" i="3"/>
  <c r="S396" i="3" s="1"/>
  <c r="N394" i="3"/>
  <c r="S394" i="3"/>
  <c r="L185" i="3"/>
  <c r="L193" i="3"/>
  <c r="C39" i="19"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J107" i="3"/>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I469" i="3" s="1"/>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C70" i="19" s="1"/>
  <c r="AH408" i="3"/>
  <c r="AI408" i="3" s="1"/>
  <c r="AN408" i="3"/>
  <c r="AO408" i="3" s="1"/>
  <c r="AE408" i="3"/>
  <c r="S24" i="3"/>
  <c r="S25" i="3" s="1"/>
  <c r="N24" i="3"/>
  <c r="N25" i="3" s="1"/>
  <c r="M13" i="3"/>
  <c r="M14" i="3" s="1"/>
  <c r="R13" i="3"/>
  <c r="R14" i="3" s="1"/>
  <c r="S13" i="3"/>
  <c r="S14" i="3" s="1"/>
  <c r="J24" i="3"/>
  <c r="J27" i="3"/>
  <c r="K22" i="3"/>
  <c r="R22" i="3" s="1"/>
  <c r="K23" i="3"/>
  <c r="R23" i="3" s="1"/>
  <c r="K21" i="3"/>
  <c r="R21" i="3" s="1"/>
  <c r="K13" i="3"/>
  <c r="N13" i="3"/>
  <c r="N14" i="3" s="1"/>
  <c r="E54" i="3" l="1"/>
  <c r="K37" i="3"/>
  <c r="V32" i="3"/>
  <c r="V34" i="3" s="1"/>
  <c r="E10" i="19"/>
  <c r="E41" i="3"/>
  <c r="AH465" i="3"/>
  <c r="AI465" i="3" s="1"/>
  <c r="H72" i="3"/>
  <c r="H74" i="3"/>
  <c r="E72" i="3"/>
  <c r="F85" i="3"/>
  <c r="E74" i="3"/>
  <c r="AA465" i="3"/>
  <c r="H27" i="3"/>
  <c r="I85" i="3"/>
  <c r="H54" i="3"/>
  <c r="H41" i="3"/>
  <c r="H8" i="19"/>
  <c r="K8" i="19" s="1"/>
  <c r="D14" i="19"/>
  <c r="I407" i="3"/>
  <c r="H9" i="19"/>
  <c r="K9" i="19" s="1"/>
  <c r="I9" i="19"/>
  <c r="L9" i="19" s="1"/>
  <c r="G9" i="19"/>
  <c r="J9" i="19" s="1"/>
  <c r="G38" i="19"/>
  <c r="J38" i="19" s="1"/>
  <c r="H38" i="19"/>
  <c r="K38" i="19" s="1"/>
  <c r="C46" i="19"/>
  <c r="I46" i="19" s="1"/>
  <c r="L46" i="19" s="1"/>
  <c r="N423" i="3"/>
  <c r="N439" i="3"/>
  <c r="N418" i="3"/>
  <c r="N410" i="3"/>
  <c r="N433" i="3"/>
  <c r="N228" i="17"/>
  <c r="C26" i="19"/>
  <c r="I26" i="19" s="1"/>
  <c r="L26" i="19" s="1"/>
  <c r="W112" i="3"/>
  <c r="W114" i="3" s="1"/>
  <c r="W117" i="3" s="1"/>
  <c r="L230" i="17"/>
  <c r="K230" i="17" s="1"/>
  <c r="D6" i="19"/>
  <c r="H13" i="19"/>
  <c r="K13" i="19" s="1"/>
  <c r="G13" i="19"/>
  <c r="J13" i="19" s="1"/>
  <c r="J407" i="17"/>
  <c r="J410" i="17" s="1"/>
  <c r="K407" i="17" s="1"/>
  <c r="O418" i="17" s="1"/>
  <c r="P418" i="17" s="1"/>
  <c r="Q418" i="17" s="1"/>
  <c r="S418" i="17" s="1"/>
  <c r="S398" i="17"/>
  <c r="N398" i="17"/>
  <c r="I5" i="19"/>
  <c r="L5" i="19" s="1"/>
  <c r="C10" i="19"/>
  <c r="I10" i="19" s="1"/>
  <c r="L10" i="19" s="1"/>
  <c r="C14" i="19"/>
  <c r="I14" i="19" s="1"/>
  <c r="L14" i="19" s="1"/>
  <c r="H4" i="19"/>
  <c r="K4" i="19" s="1"/>
  <c r="N423" i="17"/>
  <c r="N410" i="17"/>
  <c r="N405" i="17"/>
  <c r="S415" i="17"/>
  <c r="N418" i="17"/>
  <c r="N433" i="17"/>
  <c r="O438" i="17"/>
  <c r="G4" i="19"/>
  <c r="J4" i="19" s="1"/>
  <c r="G8" i="19"/>
  <c r="J8" i="19" s="1"/>
  <c r="G5" i="19"/>
  <c r="J5" i="19" s="1"/>
  <c r="C6" i="19"/>
  <c r="H5" i="19"/>
  <c r="K5" i="19" s="1"/>
  <c r="I8" i="19"/>
  <c r="L8" i="19" s="1"/>
  <c r="C25" i="19"/>
  <c r="I25" i="19" s="1"/>
  <c r="L25" i="19" s="1"/>
  <c r="D10" i="19"/>
  <c r="H22" i="19"/>
  <c r="K22" i="19" s="1"/>
  <c r="C23" i="19"/>
  <c r="I23" i="19" s="1"/>
  <c r="L23" i="19" s="1"/>
  <c r="X20" i="3"/>
  <c r="X21" i="3" s="1"/>
  <c r="G22" i="19"/>
  <c r="J22" i="19" s="1"/>
  <c r="E72" i="19"/>
  <c r="X19" i="3"/>
  <c r="I64" i="19"/>
  <c r="L64" i="19" s="1"/>
  <c r="H64" i="19"/>
  <c r="K64" i="19" s="1"/>
  <c r="G12" i="19"/>
  <c r="J12" i="19" s="1"/>
  <c r="H31" i="19"/>
  <c r="K31" i="19" s="1"/>
  <c r="I31" i="19"/>
  <c r="L31" i="19" s="1"/>
  <c r="G31" i="19"/>
  <c r="J31" i="19" s="1"/>
  <c r="I39" i="19"/>
  <c r="L39" i="19" s="1"/>
  <c r="H39" i="19"/>
  <c r="K39" i="19" s="1"/>
  <c r="G39" i="19"/>
  <c r="J39" i="19" s="1"/>
  <c r="I12" i="19"/>
  <c r="L12" i="19" s="1"/>
  <c r="H12" i="19"/>
  <c r="K12" i="19" s="1"/>
  <c r="I70" i="19"/>
  <c r="L70" i="19" s="1"/>
  <c r="H70" i="19"/>
  <c r="K70" i="19" s="1"/>
  <c r="C72" i="19"/>
  <c r="D71" i="19"/>
  <c r="G70" i="19"/>
  <c r="J70" i="19" s="1"/>
  <c r="D62" i="19"/>
  <c r="D72" i="19"/>
  <c r="AA480" i="3"/>
  <c r="AA451" i="3"/>
  <c r="AA432" i="3"/>
  <c r="AA418" i="3"/>
  <c r="L82" i="3"/>
  <c r="AF479" i="3" s="1"/>
  <c r="AH479" i="3" s="1"/>
  <c r="AI479" i="3" s="1"/>
  <c r="S158" i="3"/>
  <c r="S162" i="3" s="1"/>
  <c r="N158" i="3"/>
  <c r="J112" i="3"/>
  <c r="AG414" i="3"/>
  <c r="AM414" i="3"/>
  <c r="AH432" i="3"/>
  <c r="AI432" i="3" s="1"/>
  <c r="K32" i="17"/>
  <c r="K37" i="17"/>
  <c r="K209" i="3"/>
  <c r="K34" i="17"/>
  <c r="K36" i="17"/>
  <c r="K33" i="17"/>
  <c r="L107" i="3"/>
  <c r="M24" i="17"/>
  <c r="Z467" i="3"/>
  <c r="K24" i="17"/>
  <c r="K31" i="17"/>
  <c r="AM416" i="3"/>
  <c r="AG416" i="3"/>
  <c r="AG417" i="3"/>
  <c r="AM417" i="3"/>
  <c r="AG417" i="17"/>
  <c r="AM417" i="17"/>
  <c r="AM414" i="17"/>
  <c r="AG414" i="17"/>
  <c r="AM416" i="17"/>
  <c r="AG416" i="17"/>
  <c r="AM415" i="17"/>
  <c r="AG415" i="17"/>
  <c r="AC467" i="3"/>
  <c r="AA467" i="3" s="1"/>
  <c r="AH418" i="3"/>
  <c r="AI418" i="3" s="1"/>
  <c r="N27" i="17"/>
  <c r="N28" i="17" s="1"/>
  <c r="K54" i="17"/>
  <c r="K41" i="17"/>
  <c r="U41" i="17" s="1"/>
  <c r="K72" i="17"/>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H418" i="17"/>
  <c r="AI418" i="17" s="1"/>
  <c r="AN418" i="17"/>
  <c r="AO418" i="17" s="1"/>
  <c r="K27" i="17"/>
  <c r="R27" i="17"/>
  <c r="R28" i="17" s="1"/>
  <c r="M27" i="17"/>
  <c r="M28" i="17" s="1"/>
  <c r="K154" i="17"/>
  <c r="S154" i="17"/>
  <c r="N154" i="17"/>
  <c r="K107" i="17"/>
  <c r="S107" i="17"/>
  <c r="S108" i="17" s="1"/>
  <c r="N107" i="17"/>
  <c r="N108" i="17" s="1"/>
  <c r="AG411" i="17"/>
  <c r="AM411" i="17"/>
  <c r="S162" i="17"/>
  <c r="L162" i="17"/>
  <c r="L164" i="17" s="1"/>
  <c r="AG408" i="17"/>
  <c r="AM408" i="17"/>
  <c r="AH451" i="17"/>
  <c r="AI451" i="17" s="1"/>
  <c r="L162" i="3"/>
  <c r="C32" i="19" s="1"/>
  <c r="AL465" i="3"/>
  <c r="AN452" i="3"/>
  <c r="AN465" i="3" s="1"/>
  <c r="K34" i="3"/>
  <c r="K35" i="3"/>
  <c r="AL405" i="3"/>
  <c r="AL406" i="3"/>
  <c r="L398" i="3"/>
  <c r="N396" i="3"/>
  <c r="K396" i="3"/>
  <c r="R249" i="3"/>
  <c r="S250" i="3" s="1"/>
  <c r="S193" i="3"/>
  <c r="S194" i="3" s="1"/>
  <c r="N193" i="3"/>
  <c r="N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C56" i="19" l="1"/>
  <c r="G56" i="19" s="1"/>
  <c r="J56" i="19" s="1"/>
  <c r="G6" i="19"/>
  <c r="J6" i="19" s="1"/>
  <c r="H46" i="19"/>
  <c r="K46" i="19" s="1"/>
  <c r="G14" i="19"/>
  <c r="J14" i="19" s="1"/>
  <c r="H14" i="19"/>
  <c r="K14" i="19" s="1"/>
  <c r="G46" i="19"/>
  <c r="J46" i="19" s="1"/>
  <c r="C29" i="19"/>
  <c r="G29" i="19" s="1"/>
  <c r="J29" i="19" s="1"/>
  <c r="G26" i="19"/>
  <c r="J26" i="19" s="1"/>
  <c r="C27" i="19"/>
  <c r="H27" i="19" s="1"/>
  <c r="K27" i="19" s="1"/>
  <c r="H26" i="19"/>
  <c r="K26" i="19" s="1"/>
  <c r="I410" i="3"/>
  <c r="S230" i="17"/>
  <c r="N230" i="17"/>
  <c r="L232" i="17"/>
  <c r="N232" i="17" s="1"/>
  <c r="H10" i="19"/>
  <c r="K10" i="19" s="1"/>
  <c r="G10" i="19"/>
  <c r="J10" i="19" s="1"/>
  <c r="G25" i="19"/>
  <c r="J25" i="19" s="1"/>
  <c r="H25" i="19"/>
  <c r="K25" i="19" s="1"/>
  <c r="Q413" i="17"/>
  <c r="Q412" i="17"/>
  <c r="Q411" i="17"/>
  <c r="K410" i="17"/>
  <c r="K405" i="17"/>
  <c r="O405" i="17" s="1"/>
  <c r="P405" i="17" s="1"/>
  <c r="Q405" i="17" s="1"/>
  <c r="S405" i="17" s="1"/>
  <c r="K409" i="17"/>
  <c r="O433" i="17" s="1"/>
  <c r="P433" i="17" s="1"/>
  <c r="Q433" i="17" s="1"/>
  <c r="S432" i="17" s="1"/>
  <c r="K408" i="17"/>
  <c r="O423" i="17" s="1"/>
  <c r="P423" i="17" s="1"/>
  <c r="Q423" i="17" s="1"/>
  <c r="K406" i="17"/>
  <c r="O410" i="17" s="1"/>
  <c r="P410" i="17" s="1"/>
  <c r="H6" i="19"/>
  <c r="K6" i="19" s="1"/>
  <c r="I6" i="19"/>
  <c r="L6" i="19" s="1"/>
  <c r="H23" i="19"/>
  <c r="K23" i="19" s="1"/>
  <c r="G23" i="19"/>
  <c r="J23" i="19" s="1"/>
  <c r="F71" i="19"/>
  <c r="F62" i="19"/>
  <c r="I56" i="19"/>
  <c r="L56" i="19" s="1"/>
  <c r="H56" i="19"/>
  <c r="K56" i="19" s="1"/>
  <c r="C55" i="19"/>
  <c r="I50" i="19"/>
  <c r="L50" i="19" s="1"/>
  <c r="G50" i="19"/>
  <c r="J50" i="19" s="1"/>
  <c r="H32" i="19"/>
  <c r="K32" i="19" s="1"/>
  <c r="I32" i="19"/>
  <c r="L32" i="19" s="1"/>
  <c r="G32" i="19"/>
  <c r="J32" i="19" s="1"/>
  <c r="H72" i="19"/>
  <c r="K72" i="19" s="1"/>
  <c r="D73" i="19"/>
  <c r="G72" i="19"/>
  <c r="J72" i="19" s="1"/>
  <c r="AF480" i="3"/>
  <c r="AN479" i="3"/>
  <c r="AO479" i="3" s="1"/>
  <c r="L83" i="3"/>
  <c r="C15" i="19" s="1"/>
  <c r="N82" i="3"/>
  <c r="N83" i="3" s="1"/>
  <c r="S82" i="3"/>
  <c r="S83" i="3" s="1"/>
  <c r="N107" i="3"/>
  <c r="N108" i="3" s="1"/>
  <c r="K107" i="3"/>
  <c r="K121" i="3"/>
  <c r="S107" i="3"/>
  <c r="S108" i="3" s="1"/>
  <c r="K134" i="3"/>
  <c r="AF406" i="3"/>
  <c r="AF405" i="3"/>
  <c r="AC482" i="3"/>
  <c r="D74" i="19" s="1"/>
  <c r="S164" i="17"/>
  <c r="N164" i="17"/>
  <c r="K313" i="17"/>
  <c r="M313" i="17"/>
  <c r="R313" i="17"/>
  <c r="AF406" i="17"/>
  <c r="AD467" i="17" s="1"/>
  <c r="L352" i="17"/>
  <c r="S313" i="17"/>
  <c r="S314" i="17" s="1"/>
  <c r="N313" i="17"/>
  <c r="N314" i="17" s="1"/>
  <c r="K348" i="17"/>
  <c r="K329" i="17"/>
  <c r="R193" i="17"/>
  <c r="M193" i="17"/>
  <c r="AF479" i="17"/>
  <c r="AN479" i="17" s="1"/>
  <c r="AO479" i="17" s="1"/>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I27" i="19" l="1"/>
  <c r="L27" i="19" s="1"/>
  <c r="H29" i="19"/>
  <c r="K29" i="19" s="1"/>
  <c r="I29" i="19"/>
  <c r="L29" i="19" s="1"/>
  <c r="G27" i="19"/>
  <c r="J27" i="19" s="1"/>
  <c r="S232" i="17"/>
  <c r="J410" i="3"/>
  <c r="J409" i="3"/>
  <c r="J408" i="3"/>
  <c r="J406" i="3"/>
  <c r="J405" i="3"/>
  <c r="O405" i="3" s="1"/>
  <c r="J407" i="3"/>
  <c r="Q410" i="17"/>
  <c r="S410" i="17" s="1"/>
  <c r="S423" i="17"/>
  <c r="Q428" i="17"/>
  <c r="Q430" i="17"/>
  <c r="Q429" i="17"/>
  <c r="Q402" i="17"/>
  <c r="Q403" i="17"/>
  <c r="Q401" i="17"/>
  <c r="I15" i="19"/>
  <c r="L15" i="19" s="1"/>
  <c r="H15" i="19"/>
  <c r="K15" i="19" s="1"/>
  <c r="G15" i="19"/>
  <c r="J15" i="19" s="1"/>
  <c r="I55" i="19"/>
  <c r="L55" i="19" s="1"/>
  <c r="G55" i="19"/>
  <c r="J55" i="19" s="1"/>
  <c r="AN480" i="3"/>
  <c r="AO480" i="3" s="1"/>
  <c r="C67" i="19"/>
  <c r="C71" i="19"/>
  <c r="C62" i="19"/>
  <c r="C73" i="19"/>
  <c r="D75" i="19"/>
  <c r="AD465" i="3"/>
  <c r="AC488" i="3"/>
  <c r="AC497" i="3" s="1"/>
  <c r="AH480" i="3"/>
  <c r="AI480" i="3" s="1"/>
  <c r="AD480" i="3"/>
  <c r="AD418" i="3"/>
  <c r="AN406" i="3"/>
  <c r="AO406" i="3" s="1"/>
  <c r="AH406" i="3"/>
  <c r="AI406" i="3" s="1"/>
  <c r="AD432" i="3"/>
  <c r="AB482" i="3"/>
  <c r="S352" i="17"/>
  <c r="N352" i="17"/>
  <c r="AD418" i="17"/>
  <c r="AN406" i="17"/>
  <c r="AO406" i="17" s="1"/>
  <c r="AH406" i="17"/>
  <c r="AI406" i="17" s="1"/>
  <c r="AD432" i="17"/>
  <c r="AD465" i="17"/>
  <c r="AD451" i="17"/>
  <c r="AH479" i="17"/>
  <c r="AI479" i="17" s="1"/>
  <c r="AF480" i="17"/>
  <c r="AF482" i="17" s="1"/>
  <c r="O410" i="3" l="1"/>
  <c r="P410" i="3" s="1"/>
  <c r="Q410" i="3" s="1"/>
  <c r="O407" i="3"/>
  <c r="Q407" i="3" s="1"/>
  <c r="S407" i="3" s="1"/>
  <c r="O408" i="3"/>
  <c r="Q408" i="3" s="1"/>
  <c r="S408" i="3" s="1"/>
  <c r="O406" i="3"/>
  <c r="O419" i="3"/>
  <c r="O423" i="3"/>
  <c r="P423" i="3" s="1"/>
  <c r="Q423" i="3" s="1"/>
  <c r="O421" i="3"/>
  <c r="Q421" i="3" s="1"/>
  <c r="S421" i="3" s="1"/>
  <c r="O420" i="3"/>
  <c r="Q420" i="3" s="1"/>
  <c r="S420" i="3" s="1"/>
  <c r="O418" i="3"/>
  <c r="P418" i="3" s="1"/>
  <c r="Q418" i="3" s="1"/>
  <c r="O411" i="3"/>
  <c r="O413" i="3"/>
  <c r="Q413" i="3" s="1"/>
  <c r="S413" i="3" s="1"/>
  <c r="O412" i="3"/>
  <c r="Q412" i="3" s="1"/>
  <c r="S412" i="3" s="1"/>
  <c r="O428" i="3"/>
  <c r="O430" i="3"/>
  <c r="Q430" i="3" s="1"/>
  <c r="S430" i="3" s="1"/>
  <c r="O429" i="3"/>
  <c r="Q429" i="3" s="1"/>
  <c r="S429" i="3" s="1"/>
  <c r="O433" i="3"/>
  <c r="P433" i="3" s="1"/>
  <c r="Q433" i="3" s="1"/>
  <c r="P405" i="3"/>
  <c r="Q405" i="3" s="1"/>
  <c r="O404" i="3"/>
  <c r="O402" i="3"/>
  <c r="O403" i="3"/>
  <c r="O401" i="3"/>
  <c r="Q404" i="17"/>
  <c r="Q421" i="17"/>
  <c r="Q420" i="17"/>
  <c r="Q419" i="17"/>
  <c r="Q408" i="17"/>
  <c r="Q406" i="17"/>
  <c r="Q407" i="17"/>
  <c r="D76" i="19"/>
  <c r="D77" i="19" s="1"/>
  <c r="AC501" i="3"/>
  <c r="I71" i="19"/>
  <c r="L71" i="19" s="1"/>
  <c r="G71" i="19"/>
  <c r="J71" i="19" s="1"/>
  <c r="H67" i="19"/>
  <c r="K67" i="19" s="1"/>
  <c r="I67" i="19"/>
  <c r="L67" i="19" s="1"/>
  <c r="G67" i="19"/>
  <c r="J67" i="19" s="1"/>
  <c r="I62" i="19"/>
  <c r="L62" i="19" s="1"/>
  <c r="G62" i="19"/>
  <c r="J62" i="19" s="1"/>
  <c r="G73" i="19"/>
  <c r="J73" i="19" s="1"/>
  <c r="AB497" i="3"/>
  <c r="AB488" i="3"/>
  <c r="AF488" i="17"/>
  <c r="AN482" i="17"/>
  <c r="AO482" i="17" s="1"/>
  <c r="AH482" i="17"/>
  <c r="AI482" i="17" s="1"/>
  <c r="AE482" i="17"/>
  <c r="AH480" i="17"/>
  <c r="AI480" i="17" s="1"/>
  <c r="AD480" i="17"/>
  <c r="AN480" i="17"/>
  <c r="AO480" i="17" s="1"/>
  <c r="D303" i="3"/>
  <c r="D308" i="3" s="1"/>
  <c r="Q403" i="3" l="1"/>
  <c r="O437" i="3"/>
  <c r="O409" i="3"/>
  <c r="Q406" i="3"/>
  <c r="O436" i="3"/>
  <c r="Q402" i="3"/>
  <c r="O414" i="3"/>
  <c r="Q414" i="3" s="1"/>
  <c r="Q411" i="3"/>
  <c r="S411" i="3" s="1"/>
  <c r="O435" i="3"/>
  <c r="Q401" i="3"/>
  <c r="O432" i="3"/>
  <c r="Q428" i="3"/>
  <c r="Q419" i="3"/>
  <c r="O422" i="3"/>
  <c r="Q422" i="17"/>
  <c r="Q409" i="17"/>
  <c r="AE488" i="17"/>
  <c r="AF497" i="17"/>
  <c r="AN488" i="17"/>
  <c r="AO488" i="17" s="1"/>
  <c r="AH488" i="17"/>
  <c r="AI488" i="17" s="1"/>
  <c r="D313" i="3"/>
  <c r="E50" i="19" s="1"/>
  <c r="E308" i="3"/>
  <c r="E303" i="3"/>
  <c r="O438" i="3" l="1"/>
  <c r="Q431" i="3"/>
  <c r="Q432" i="3"/>
  <c r="S428" i="3"/>
  <c r="Q409" i="3"/>
  <c r="S406" i="3"/>
  <c r="Q404" i="3"/>
  <c r="S401" i="3"/>
  <c r="Q435" i="3"/>
  <c r="S402" i="3"/>
  <c r="Q436" i="3"/>
  <c r="Q422" i="3"/>
  <c r="S419" i="3"/>
  <c r="Q437" i="3"/>
  <c r="S403" i="3"/>
  <c r="E55" i="19"/>
  <c r="H55" i="19" s="1"/>
  <c r="K55" i="19" s="1"/>
  <c r="H50" i="19"/>
  <c r="K50" i="19" s="1"/>
  <c r="E50" i="2"/>
  <c r="E53" i="2" s="1"/>
  <c r="E56" i="2" s="1"/>
  <c r="E65" i="2" s="1"/>
  <c r="AF500" i="17"/>
  <c r="AE497" i="17"/>
  <c r="AN497" i="17"/>
  <c r="AO497" i="17" s="1"/>
  <c r="AH497" i="17"/>
  <c r="AI497" i="17" s="1"/>
  <c r="E313" i="3"/>
  <c r="E376" i="3"/>
  <c r="E396" i="3"/>
  <c r="E394" i="3"/>
  <c r="D361" i="3"/>
  <c r="E361" i="3" s="1"/>
  <c r="E359" i="3"/>
  <c r="F361" i="3"/>
  <c r="Q438" i="3" l="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s="1"/>
  <c r="E77" i="19" s="1"/>
  <c r="Y497" i="3" l="1"/>
  <c r="Z501" i="3"/>
  <c r="L224" i="3"/>
  <c r="N224" i="3" s="1"/>
  <c r="L344" i="3"/>
  <c r="L348" i="3" s="1"/>
  <c r="AH447" i="3"/>
  <c r="AI447" i="3" s="1"/>
  <c r="L280" i="3"/>
  <c r="S280" i="3" s="1"/>
  <c r="L148" i="3"/>
  <c r="N148" i="3" s="1"/>
  <c r="L68" i="3"/>
  <c r="AF451" i="3"/>
  <c r="AD451" i="3" l="1"/>
  <c r="C65" i="19"/>
  <c r="L228" i="3"/>
  <c r="K228" i="3" s="1"/>
  <c r="AH451" i="3"/>
  <c r="AI451" i="3" s="1"/>
  <c r="AF467" i="3"/>
  <c r="AH467" i="3" s="1"/>
  <c r="AI467" i="3" s="1"/>
  <c r="S344" i="3"/>
  <c r="S348" i="3" s="1"/>
  <c r="K348" i="3"/>
  <c r="L350" i="3"/>
  <c r="L152" i="3"/>
  <c r="L72" i="3"/>
  <c r="N344" i="3"/>
  <c r="N348" i="3" s="1"/>
  <c r="S148" i="3"/>
  <c r="L284" i="3"/>
  <c r="N280" i="3"/>
  <c r="N284" i="3" s="1"/>
  <c r="S224" i="3"/>
  <c r="N68" i="3"/>
  <c r="N72" i="3" s="1"/>
  <c r="N85" i="3" s="1"/>
  <c r="L230" i="3" l="1"/>
  <c r="S230" i="3" s="1"/>
  <c r="N228" i="3"/>
  <c r="H65" i="19"/>
  <c r="K65" i="19" s="1"/>
  <c r="G65" i="19"/>
  <c r="J65" i="19" s="1"/>
  <c r="S228" i="3"/>
  <c r="AD467" i="3"/>
  <c r="AF482" i="3"/>
  <c r="C74" i="19" s="1"/>
  <c r="S284" i="3"/>
  <c r="L286" i="3"/>
  <c r="K286" i="3" s="1"/>
  <c r="K284" i="3"/>
  <c r="S152" i="3"/>
  <c r="L154" i="3"/>
  <c r="N152" i="3"/>
  <c r="K152" i="3"/>
  <c r="N350" i="3"/>
  <c r="S350" i="3"/>
  <c r="L352" i="3"/>
  <c r="K350" i="3"/>
  <c r="L74" i="3"/>
  <c r="K72" i="3"/>
  <c r="K230" i="3" l="1"/>
  <c r="L232" i="3"/>
  <c r="S232" i="3" s="1"/>
  <c r="N230" i="3"/>
  <c r="C75" i="19"/>
  <c r="H74" i="19"/>
  <c r="K74" i="19" s="1"/>
  <c r="G74" i="19"/>
  <c r="J74" i="19" s="1"/>
  <c r="AH482" i="3"/>
  <c r="AI482" i="3" s="1"/>
  <c r="AE482" i="3"/>
  <c r="AF488" i="3"/>
  <c r="AF497" i="3" s="1"/>
  <c r="N352" i="3"/>
  <c r="S352" i="3"/>
  <c r="K154" i="3"/>
  <c r="L164" i="3"/>
  <c r="N154" i="3"/>
  <c r="S154" i="3"/>
  <c r="S286" i="3"/>
  <c r="N286" i="3"/>
  <c r="L288" i="3"/>
  <c r="L85" i="3"/>
  <c r="K74" i="3"/>
  <c r="N74" i="3"/>
  <c r="N232" i="3" l="1"/>
  <c r="H75" i="19"/>
  <c r="K75" i="19" s="1"/>
  <c r="G75" i="19"/>
  <c r="J75" i="19" s="1"/>
  <c r="C76" i="19"/>
  <c r="AE488" i="3"/>
  <c r="AH488" i="3"/>
  <c r="AI488" i="3" s="1"/>
  <c r="N164" i="3"/>
  <c r="S164" i="3"/>
  <c r="S288" i="3"/>
  <c r="N288" i="3"/>
  <c r="C77" i="19" l="1"/>
  <c r="H76" i="19"/>
  <c r="K76" i="19" s="1"/>
  <c r="G76" i="19"/>
  <c r="J76" i="19" s="1"/>
  <c r="AH497" i="3"/>
  <c r="AI497" i="3" s="1"/>
  <c r="AF501" i="3"/>
  <c r="AE497" i="3"/>
  <c r="H77" i="19" l="1"/>
  <c r="K77" i="19" s="1"/>
  <c r="G77" i="19"/>
  <c r="J77" i="19" s="1"/>
  <c r="Q414" i="17"/>
  <c r="Q437" i="17"/>
  <c r="Q435" i="17"/>
  <c r="Q431" i="17"/>
  <c r="Q436" i="17"/>
  <c r="Q432" i="17"/>
  <c r="Q438" i="17" l="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I76" i="19" s="1"/>
  <c r="AN497" i="3"/>
  <c r="AO497" i="3" s="1"/>
  <c r="AK497" i="3"/>
  <c r="L76" i="19" l="1"/>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7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800-000001000000}">
      <text>
        <r>
          <rPr>
            <sz val="11"/>
            <color theme="1"/>
            <rFont val="Arial"/>
            <family val="2"/>
          </rPr>
          <t>SI #N/A compte non intégré = erreur</t>
        </r>
      </text>
    </comment>
  </commentList>
</comments>
</file>

<file path=xl/sharedStrings.xml><?xml version="1.0" encoding="utf-8"?>
<sst xmlns="http://schemas.openxmlformats.org/spreadsheetml/2006/main" count="15189" uniqueCount="2964">
  <si>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</si>
  <si>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</si>
  <si>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</si>
  <si>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</si>
  <si>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</si>
  <si>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</si>
  <si>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</si>
  <si>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</si>
  <si>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</si>
  <si>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</si>
  <si>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</si>
  <si>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</si>
  <si>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</si>
  <si>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</si>
  <si>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</si>
  <si>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</si>
  <si>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</si>
  <si>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</si>
  <si>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</si>
  <si>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</si>
  <si>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</si>
  <si>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</si>
  <si>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</si>
  <si>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</si>
  <si>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</si>
  <si>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</si>
  <si>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</si>
  <si>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</si>
  <si>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</si>
  <si>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</si>
  <si>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</si>
  <si>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</si>
  <si>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</si>
  <si>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</si>
  <si>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</si>
  <si>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</si>
  <si>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</si>
  <si>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</si>
  <si>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</si>
  <si>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</si>
  <si>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</si>
  <si>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</si>
  <si>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</si>
  <si>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</si>
  <si>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</si>
  <si>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</si>
  <si>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</si>
  <si>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</si>
  <si>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</si>
  <si>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</si>
  <si>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</si>
  <si>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</si>
  <si>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</si>
  <si>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</si>
  <si>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</si>
  <si>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</si>
  <si>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</si>
  <si>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</si>
  <si>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</si>
  <si>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</si>
  <si>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</si>
  <si>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</si>
  <si>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</si>
  <si>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</si>
  <si>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</si>
  <si>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</si>
  <si>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</si>
  <si>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</si>
  <si>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</si>
  <si>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</si>
  <si>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</si>
  <si>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</si>
  <si>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</si>
  <si>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</si>
  <si>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</si>
  <si>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</si>
  <si>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</si>
  <si>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</si>
  <si>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</si>
  <si>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</si>
  <si>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</si>
  <si>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</si>
  <si>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</si>
  <si>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</si>
  <si>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</si>
  <si>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</si>
  <si>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</si>
  <si>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</si>
  <si>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</si>
  <si>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</si>
  <si>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</si>
  <si>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</si>
  <si>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</si>
  <si>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</si>
  <si>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</si>
  <si>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</si>
  <si>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</si>
  <si>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</si>
  <si>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</si>
  <si>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</si>
  <si>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</si>
  <si>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</si>
  <si>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</si>
  <si>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</si>
  <si>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</si>
  <si>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</si>
  <si>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</si>
  <si>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</si>
  <si>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</si>
  <si>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</si>
  <si>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</si>
  <si>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</si>
  <si>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</si>
  <si>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</si>
  <si>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</si>
  <si>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</si>
  <si>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</si>
  <si>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</si>
  <si>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</si>
  <si>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</si>
  <si>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</si>
  <si>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</si>
  <si>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</si>
  <si>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</si>
  <si>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</si>
  <si>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</si>
  <si>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</si>
  <si>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</si>
  <si>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</si>
  <si>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</si>
  <si>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</si>
  <si>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</si>
  <si>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</si>
  <si>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</si>
  <si>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</si>
  <si>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</si>
  <si>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</si>
  <si>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</si>
  <si>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</si>
  <si>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</si>
  <si>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</si>
  <si>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</si>
  <si>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</si>
  <si>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</si>
  <si>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</si>
  <si>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</si>
  <si>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</si>
  <si>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</si>
  <si>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</si>
  <si>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</si>
  <si>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</si>
  <si>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</si>
  <si>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</si>
  <si>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</si>
  <si>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</si>
  <si>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</si>
  <si>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</si>
  <si>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</si>
  <si>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</si>
  <si>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</si>
  <si>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</si>
  <si>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</si>
  <si>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</si>
  <si>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</si>
  <si>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</si>
  <si>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</si>
  <si>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</si>
  <si>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</si>
  <si>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</si>
  <si>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</si>
  <si>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</si>
  <si>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</si>
  <si>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</si>
  <si>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</si>
  <si>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</si>
  <si>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</si>
  <si>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</si>
  <si>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</si>
  <si>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</si>
  <si>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</si>
  <si>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</si>
  <si>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</si>
  <si>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</si>
  <si>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</si>
  <si>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</si>
  <si>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</si>
  <si>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</si>
  <si>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</si>
  <si>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</si>
  <si>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</si>
  <si>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</si>
  <si>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</si>
  <si>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</si>
  <si>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</si>
  <si>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</si>
  <si>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</si>
  <si>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</si>
  <si>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</si>
  <si>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</si>
  <si>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</si>
  <si>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</si>
  <si>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</si>
  <si>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</si>
  <si>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</si>
  <si>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</si>
  <si>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</si>
  <si>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</si>
  <si>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</si>
  <si>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</si>
  <si>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</si>
  <si>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</si>
  <si>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</si>
  <si>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</si>
  <si>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</si>
  <si>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</si>
  <si>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</si>
  <si>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</si>
  <si>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</si>
  <si>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</si>
  <si>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</si>
  <si>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</si>
  <si>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</si>
  <si>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</si>
  <si>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</si>
  <si>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</si>
  <si>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</si>
  <si>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</si>
  <si>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</si>
  <si>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</si>
  <si>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</si>
  <si>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</si>
  <si>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</si>
  <si>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</si>
  <si>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</si>
  <si>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</si>
  <si>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</si>
  <si>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</si>
  <si>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</si>
  <si>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</si>
  <si>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</si>
  <si>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</si>
  <si>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</si>
  <si>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</si>
  <si>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</si>
  <si>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</si>
  <si>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</si>
  <si>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</si>
  <si>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</si>
  <si>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</si>
  <si>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</si>
  <si>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</si>
  <si>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</si>
  <si>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</si>
  <si>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</si>
  <si>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</si>
  <si>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</si>
  <si>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</si>
  <si>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</si>
  <si>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</si>
  <si>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</si>
  <si>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</si>
  <si>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</si>
  <si>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</si>
  <si>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</si>
  <si>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</si>
  <si>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</si>
  <si>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</si>
  <si>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</si>
  <si>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</si>
  <si>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</si>
  <si>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</si>
  <si>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</si>
  <si>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</si>
  <si>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</si>
  <si>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</si>
  <si>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</si>
  <si>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</si>
  <si>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</si>
  <si>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</si>
  <si>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</si>
  <si>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</si>
  <si>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</si>
  <si>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</si>
  <si>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</si>
  <si>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</si>
  <si>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</si>
  <si>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</si>
  <si>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</si>
  <si>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</si>
  <si>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</si>
  <si>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</si>
  <si>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</si>
  <si>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</si>
  <si>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</si>
  <si>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</si>
  <si>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</si>
  <si>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</si>
  <si>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</si>
  <si>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</si>
  <si>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</si>
  <si>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</si>
  <si>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</si>
  <si>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</si>
  <si>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</si>
  <si>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</si>
  <si>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</si>
  <si>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</si>
  <si>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</si>
  <si>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</si>
  <si>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</si>
  <si>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</si>
  <si>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</si>
  <si>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</si>
  <si>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</si>
  <si>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</si>
  <si>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</si>
  <si>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</si>
  <si>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</si>
  <si>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</si>
  <si>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</si>
  <si>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</si>
  <si>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</si>
  <si>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</si>
  <si>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</si>
  <si>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</si>
  <si>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</si>
  <si>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</si>
  <si>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</si>
  <si>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</si>
  <si>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</si>
  <si>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</si>
  <si>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</si>
  <si>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</si>
  <si>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</si>
  <si>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</si>
  <si>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</si>
  <si>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</si>
  <si>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</si>
  <si>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</si>
  <si>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</si>
  <si>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</si>
  <si>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</si>
  <si>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</si>
  <si>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</si>
  <si>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</si>
  <si>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</si>
  <si>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</si>
  <si>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</si>
  <si>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</si>
  <si>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</si>
  <si>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</si>
  <si>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</si>
  <si>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</si>
  <si>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</si>
  <si>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</si>
  <si>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</si>
  <si>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</si>
  <si>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</si>
  <si>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</si>
  <si>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</si>
  <si>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</si>
  <si>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</si>
  <si>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</si>
  <si>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</si>
  <si>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</si>
  <si>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</si>
  <si>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</si>
  <si>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</si>
  <si>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</si>
  <si>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</si>
  <si>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</si>
  <si>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</si>
  <si>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</si>
  <si>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</si>
  <si>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</si>
  <si>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</si>
  <si>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</si>
  <si>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</si>
  <si>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</si>
  <si>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</si>
  <si>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</si>
  <si>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</si>
  <si>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</si>
  <si>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</si>
  <si>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</si>
  <si>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</si>
  <si>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</si>
  <si>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</si>
  <si>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</si>
  <si>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</si>
  <si>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</si>
  <si>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</si>
  <si>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</si>
  <si>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</si>
  <si>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</si>
  <si>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</si>
  <si>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</si>
  <si>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</si>
  <si>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</si>
  <si>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</si>
  <si>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</si>
  <si>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</si>
  <si>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</si>
  <si>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</si>
  <si>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</si>
  <si>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</si>
  <si>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</si>
  <si>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</si>
  <si>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</si>
  <si>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</si>
  <si>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</si>
  <si>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</si>
  <si>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</si>
  <si>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</si>
  <si>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</si>
  <si>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</si>
  <si>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</si>
  <si>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</si>
  <si>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</si>
  <si>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</si>
  <si>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</si>
  <si>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</si>
  <si>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</si>
  <si>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</si>
  <si>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</si>
  <si>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</si>
  <si>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</si>
  <si>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</si>
  <si>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</si>
  <si>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</si>
  <si>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</si>
  <si>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</si>
  <si>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</si>
  <si>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</si>
  <si>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</si>
  <si>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</si>
  <si>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</si>
  <si>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</si>
  <si>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</si>
  <si>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</si>
  <si>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</si>
  <si>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</si>
  <si>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</si>
  <si>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</si>
  <si>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</si>
  <si>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</si>
  <si>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</si>
  <si>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</si>
  <si>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</si>
  <si>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</si>
  <si>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</si>
  <si>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</si>
  <si>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</si>
  <si>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</si>
  <si>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</si>
  <si>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</si>
  <si>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</si>
  <si>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</si>
  <si>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</si>
  <si>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</si>
  <si>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</si>
  <si>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</si>
  <si>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</si>
  <si>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</si>
  <si>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</si>
  <si>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</si>
  <si>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</si>
  <si>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</si>
  <si>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</si>
  <si>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</si>
  <si>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</si>
  <si>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</si>
  <si>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</si>
  <si>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</si>
  <si>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</si>
  <si>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</si>
  <si>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</si>
  <si>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</si>
  <si>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</si>
  <si>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</si>
  <si>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</si>
  <si>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</si>
  <si>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</si>
  <si>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</si>
  <si>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</si>
  <si>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</si>
  <si>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</si>
  <si>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</si>
  <si>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</si>
  <si>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</si>
  <si>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</si>
  <si>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</si>
  <si>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</si>
  <si>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</si>
  <si>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</si>
  <si>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</si>
  <si>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</si>
  <si>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</si>
  <si>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</si>
  <si>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</si>
  <si>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</si>
  <si>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</si>
  <si>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</si>
  <si>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</si>
  <si>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</si>
  <si>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</si>
  <si>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</si>
  <si>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</si>
  <si>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</si>
  <si>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</si>
  <si>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</si>
  <si>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</si>
  <si>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</si>
  <si>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</si>
  <si>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</si>
  <si>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</si>
  <si>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</si>
  <si>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</si>
  <si>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</si>
  <si>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</si>
  <si>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</si>
  <si>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</si>
  <si>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</si>
  <si>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</si>
  <si>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</si>
  <si>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</si>
  <si>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</si>
  <si>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</si>
  <si>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</si>
  <si>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</si>
  <si>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</si>
  <si>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</si>
  <si>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</si>
  <si>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</si>
  <si>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</si>
  <si>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</si>
  <si>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</si>
  <si>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</si>
  <si>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</si>
  <si>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</si>
  <si>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</si>
  <si>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</si>
  <si>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</si>
  <si>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</si>
  <si>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</si>
  <si>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</si>
  <si>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</si>
  <si>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</si>
  <si>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</si>
  <si>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</si>
  <si>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</si>
  <si>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</si>
  <si>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</si>
  <si>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</si>
  <si>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</si>
  <si>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</si>
  <si>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</si>
  <si>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</si>
  <si>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</si>
  <si>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</si>
  <si>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</si>
  <si>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</si>
  <si>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</si>
  <si>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</si>
  <si>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</si>
  <si>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</si>
  <si>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</si>
  <si>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</si>
  <si>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</si>
  <si>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</si>
  <si>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</si>
  <si>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</si>
  <si>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</si>
  <si>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</si>
  <si>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</si>
  <si>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</si>
  <si>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</si>
  <si>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</si>
  <si>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</si>
  <si>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</si>
  <si>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</si>
  <si>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</si>
  <si>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</si>
  <si>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</si>
  <si>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</si>
  <si>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</si>
  <si>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</si>
  <si>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</si>
  <si>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</si>
  <si>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</si>
  <si>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</si>
  <si>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</si>
  <si>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</si>
  <si>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</si>
  <si>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</si>
  <si>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</si>
  <si>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</si>
  <si>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</si>
  <si>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</si>
  <si>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</si>
  <si>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</si>
  <si>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</si>
  <si>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</si>
  <si>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</si>
  <si>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</si>
  <si>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</si>
  <si>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</si>
  <si>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</si>
  <si>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</si>
  <si>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</si>
  <si>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</si>
  <si>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</si>
  <si>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</si>
  <si>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</si>
  <si>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</si>
  <si>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</si>
  <si>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</si>
  <si>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</si>
  <si>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</si>
  <si>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</si>
  <si>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</si>
  <si>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</si>
  <si>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</si>
  <si>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</si>
  <si>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</si>
  <si>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</si>
  <si>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</si>
  <si>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</si>
  <si>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</si>
  <si>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</si>
  <si>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</si>
  <si>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</si>
  <si>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</si>
  <si>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</si>
  <si>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</si>
  <si>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</si>
  <si>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</si>
  <si>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</si>
  <si>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</si>
  <si>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</si>
  <si>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</si>
  <si>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</si>
  <si>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</si>
  <si>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</si>
  <si>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</si>
  <si>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</si>
  <si>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</si>
  <si>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</si>
  <si>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</si>
  <si>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</si>
  <si>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</si>
  <si>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</si>
  <si>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</si>
  <si>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</si>
  <si>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</si>
  <si>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</si>
  <si>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</si>
  <si>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</si>
  <si>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</si>
  <si>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</si>
  <si>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</si>
  <si>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</si>
  <si>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</si>
  <si>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</si>
  <si>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</si>
  <si>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</si>
  <si>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</si>
  <si>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</si>
  <si>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</si>
  <si>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</si>
  <si>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</si>
  <si>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</si>
  <si>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</si>
  <si>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</si>
  <si>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</si>
  <si>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</si>
  <si>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</si>
  <si>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</si>
  <si>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</si>
  <si>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</si>
  <si>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</si>
  <si>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</si>
  <si>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</si>
  <si>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</si>
  <si>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</si>
  <si>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</si>
  <si>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</si>
  <si>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</si>
  <si>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</si>
  <si>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</si>
  <si>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</si>
  <si>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</si>
  <si>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</si>
  <si>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</si>
  <si>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</si>
  <si>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</si>
  <si>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</si>
  <si>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</si>
  <si>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</si>
  <si>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</si>
  <si>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</si>
  <si>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</si>
  <si>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</si>
  <si>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</si>
  <si>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</si>
  <si>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</si>
  <si>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</si>
  <si>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</si>
  <si>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</si>
  <si>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</si>
  <si>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</si>
  <si>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</si>
  <si>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</si>
  <si>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</si>
  <si>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</si>
  <si>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</si>
  <si>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</si>
  <si>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</si>
  <si>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</si>
  <si>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</si>
  <si>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</si>
  <si>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</si>
  <si>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</si>
  <si>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</si>
  <si>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</si>
  <si>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</si>
  <si>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</si>
  <si>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</si>
  <si>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</si>
  <si>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</si>
  <si>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</si>
  <si>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</si>
  <si>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</si>
  <si>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</si>
  <si>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</si>
  <si>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</si>
  <si>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</si>
  <si>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</si>
  <si>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</si>
  <si>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</si>
  <si>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</si>
  <si>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</si>
  <si>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</si>
  <si>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</si>
  <si>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</si>
  <si>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</si>
  <si>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</si>
  <si>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</si>
  <si>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</si>
  <si>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</si>
  <si>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</si>
  <si>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</si>
  <si>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</si>
  <si>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</si>
  <si>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</si>
  <si>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</si>
  <si>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</si>
  <si>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</si>
  <si>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</si>
  <si>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</si>
  <si>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</si>
  <si>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</si>
  <si>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</si>
  <si>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</si>
  <si>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</si>
  <si>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</si>
  <si>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</si>
  <si>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</si>
  <si>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</si>
  <si>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</si>
  <si>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</si>
  <si>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</si>
  <si>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</si>
  <si>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</si>
  <si>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</si>
  <si>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</si>
  <si>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</si>
  <si>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</si>
  <si>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</si>
  <si>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</si>
  <si>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</si>
  <si>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</si>
  <si>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</si>
  <si>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</si>
  <si>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</si>
  <si>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</si>
  <si>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</si>
  <si>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</si>
  <si>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</si>
  <si>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</si>
  <si>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</si>
  <si>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</si>
  <si>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</si>
  <si>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</si>
  <si>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</si>
  <si>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</si>
  <si>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</si>
  <si>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</si>
  <si>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</si>
  <si>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</si>
  <si>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</si>
  <si>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</si>
  <si>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</si>
  <si>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</si>
  <si>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</si>
  <si>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</si>
  <si>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</si>
  <si>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</si>
  <si>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</si>
  <si>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</si>
  <si>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</si>
  <si>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</si>
  <si>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</si>
  <si>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</si>
  <si>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</si>
  <si>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</si>
  <si>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</si>
  <si>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</si>
  <si>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</si>
  <si>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</si>
  <si>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</si>
  <si>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</si>
  <si>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</si>
  <si>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</si>
  <si>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</si>
  <si>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</si>
  <si>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</si>
  <si>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</si>
  <si>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</si>
  <si>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</si>
  <si>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</si>
  <si>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</si>
  <si>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</si>
  <si>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</si>
  <si>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</si>
  <si>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</si>
  <si>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</si>
  <si>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</si>
  <si>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</si>
  <si>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</si>
  <si>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</si>
  <si>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</si>
  <si>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</si>
  <si>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</si>
  <si>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</si>
  <si>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</si>
  <si>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</si>
  <si>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</si>
  <si>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</si>
  <si>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</si>
  <si>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</si>
  <si>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</si>
  <si>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</si>
  <si>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</si>
  <si>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</si>
  <si>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</si>
  <si>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</si>
  <si>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</si>
  <si>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</si>
  <si>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</si>
  <si>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</si>
  <si>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</si>
  <si>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</si>
  <si>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</si>
  <si>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</si>
  <si>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</si>
  <si>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</si>
  <si>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</si>
  <si>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</si>
  <si>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</si>
  <si>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</si>
  <si>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</si>
  <si>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</si>
  <si>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</si>
  <si>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</si>
  <si>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</si>
  <si>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</si>
  <si>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</si>
  <si>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</si>
  <si>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</si>
  <si>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</si>
  <si>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</si>
  <si>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</si>
  <si>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</si>
  <si>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</si>
  <si>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</si>
  <si>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</si>
  <si>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</si>
  <si>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</si>
  <si>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</si>
  <si>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</si>
  <si>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</si>
  <si>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</si>
  <si>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</si>
  <si>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</si>
  <si>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</si>
  <si>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</si>
  <si>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</si>
  <si>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</si>
  <si>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</si>
  <si>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</si>
  <si>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</si>
  <si>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</si>
  <si>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</si>
  <si>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</si>
  <si>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</si>
  <si>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</si>
  <si>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</si>
  <si>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</si>
  <si>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</si>
  <si>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</si>
  <si>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</si>
  <si>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</si>
  <si>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</si>
  <si>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</si>
  <si>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</si>
  <si>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</si>
  <si>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</si>
  <si>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</si>
  <si>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</si>
  <si>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</si>
  <si>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</si>
  <si>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</si>
  <si>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</si>
  <si>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</si>
  <si>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</si>
  <si>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</si>
  <si>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</si>
  <si>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</si>
  <si>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</si>
  <si>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</si>
  <si>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</si>
  <si>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</si>
  <si>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</si>
  <si>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</si>
  <si>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</si>
  <si>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</si>
  <si>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</si>
  <si>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</si>
  <si>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</si>
  <si>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</si>
  <si>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</si>
  <si>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</si>
  <si>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</si>
  <si>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</si>
  <si>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</si>
  <si>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</si>
  <si>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</si>
  <si>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</si>
  <si>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</si>
  <si>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</si>
  <si>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</si>
  <si>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</si>
  <si>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</si>
  <si>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</si>
  <si>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</si>
  <si>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</si>
  <si>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</si>
  <si>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</si>
  <si>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</si>
  <si>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</si>
  <si>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</si>
  <si>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</si>
  <si>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</si>
  <si>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</si>
  <si>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</si>
  <si>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</si>
  <si>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</si>
  <si>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</si>
  <si>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</si>
  <si>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</si>
  <si>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</si>
  <si>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</si>
  <si>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</si>
  <si>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</si>
  <si>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</si>
  <si>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</si>
  <si>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</si>
  <si>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</si>
  <si>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</si>
  <si>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</si>
  <si>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</si>
  <si>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</si>
  <si>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</si>
  <si>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</si>
  <si>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</si>
  <si>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</si>
  <si>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</si>
  <si>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</si>
  <si>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</si>
  <si>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</si>
  <si>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</si>
  <si>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</si>
  <si>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</si>
  <si>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</si>
  <si>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</si>
  <si>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</si>
  <si>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</si>
  <si>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</si>
  <si>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</si>
  <si>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</si>
  <si>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</si>
  <si>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</si>
  <si>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</si>
  <si>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</si>
  <si>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</si>
  <si>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</si>
  <si>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</si>
  <si>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</si>
  <si>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</si>
  <si>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</si>
  <si>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</si>
  <si>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</si>
  <si>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</si>
  <si>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</si>
  <si>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</si>
  <si>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</si>
  <si>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</si>
  <si>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</si>
  <si>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</si>
  <si>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</si>
  <si>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</si>
  <si>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</si>
  <si>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</si>
  <si>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</si>
  <si>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</si>
  <si>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</si>
  <si>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</si>
  <si>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</si>
  <si>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</si>
  <si>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</si>
  <si>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</si>
  <si>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</si>
  <si>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</si>
  <si>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</si>
  <si>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</si>
  <si>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</si>
  <si>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</si>
  <si>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</si>
  <si>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</si>
  <si>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</si>
  <si>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</si>
  <si>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</si>
  <si>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</si>
  <si>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</si>
  <si>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</si>
  <si>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</si>
  <si>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</si>
  <si>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</si>
  <si>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</si>
  <si>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</si>
  <si>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</si>
  <si>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</si>
  <si>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</si>
  <si>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</si>
  <si>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</si>
  <si>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</si>
  <si>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</si>
  <si>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</si>
  <si>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</si>
  <si>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</si>
  <si>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</si>
  <si>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</si>
  <si>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</si>
  <si>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</si>
  <si>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</si>
  <si>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</si>
  <si>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</si>
  <si>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</si>
  <si>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</si>
  <si>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</si>
  <si>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</si>
  <si>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</si>
  <si>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</si>
  <si>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</si>
  <si>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</si>
  <si>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</si>
  <si>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</si>
  <si>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</si>
  <si>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</si>
  <si>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</si>
  <si>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</si>
  <si>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</si>
  <si>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</si>
  <si>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</si>
  <si>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</si>
  <si>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</si>
  <si>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</si>
  <si>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</si>
  <si>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</si>
  <si>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</si>
  <si>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</si>
  <si>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</si>
  <si>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</si>
  <si>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</si>
  <si>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</si>
  <si>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</si>
  <si>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</si>
  <si>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</si>
  <si>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</si>
  <si>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</si>
  <si>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</si>
  <si>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</si>
  <si>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</si>
  <si>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</si>
  <si>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</si>
  <si>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</si>
  <si>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</si>
  <si>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</si>
  <si>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</si>
  <si>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</si>
  <si>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</si>
  <si>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</si>
  <si>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</si>
  <si>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</si>
  <si>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</si>
  <si>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</si>
  <si>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</si>
  <si>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</si>
  <si>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</si>
  <si>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</si>
  <si>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</si>
  <si>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</si>
  <si>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</si>
  <si>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</si>
  <si>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</si>
  <si>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</si>
  <si>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</si>
  <si>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</si>
  <si>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</si>
  <si>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</si>
  <si>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</si>
  <si>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</si>
  <si>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</si>
  <si>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</si>
  <si>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</si>
  <si>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</si>
  <si>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</si>
  <si>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</si>
  <si>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</si>
  <si>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</si>
  <si>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</si>
  <si>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</si>
  <si>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</si>
  <si>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</si>
  <si>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</si>
  <si>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</si>
  <si>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</si>
  <si>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</si>
  <si>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</si>
  <si>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</si>
  <si>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</si>
  <si>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</si>
  <si>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</si>
  <si>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</si>
  <si>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</si>
  <si>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</si>
  <si>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</si>
  <si>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</si>
  <si>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</si>
  <si>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</si>
  <si>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</si>
  <si>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</si>
  <si>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</si>
  <si>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</si>
  <si>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</si>
  <si>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</si>
  <si>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</si>
  <si>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</si>
  <si>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</si>
  <si>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</si>
  <si>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</si>
  <si>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</si>
  <si>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</si>
  <si>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</si>
  <si>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</si>
  <si>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</si>
  <si>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</si>
  <si>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</si>
  <si>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</si>
  <si>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</si>
  <si>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</si>
  <si>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</si>
  <si>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</si>
  <si>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</si>
  <si>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</si>
  <si>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</si>
  <si>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</si>
  <si>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</si>
  <si>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</si>
  <si>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</si>
  <si>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</si>
  <si>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</si>
  <si>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</si>
  <si>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</si>
  <si>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</si>
  <si>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</si>
  <si>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</si>
  <si>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</si>
  <si>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</si>
  <si>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</si>
  <si>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</si>
  <si>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</si>
  <si>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</si>
  <si>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</si>
  <si>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</si>
  <si>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</si>
  <si>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</si>
  <si>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</si>
  <si>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</si>
  <si>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</si>
  <si>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</si>
  <si>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</si>
  <si>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</si>
  <si>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</si>
  <si>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</si>
  <si>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</si>
  <si>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</si>
  <si>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</si>
  <si>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</si>
  <si>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</si>
  <si>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</si>
  <si>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</si>
  <si>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</si>
  <si>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</si>
  <si>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</si>
  <si>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</si>
  <si>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</si>
  <si>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</si>
  <si>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</si>
  <si>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</si>
  <si>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</si>
  <si>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</si>
  <si>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</si>
  <si>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</si>
  <si>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</si>
  <si>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</si>
  <si>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</si>
  <si>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</si>
  <si>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</si>
  <si>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</si>
  <si>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</si>
  <si>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</si>
  <si>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</si>
  <si>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</si>
  <si>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</si>
  <si>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</si>
  <si>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</si>
  <si>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</si>
  <si>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</si>
  <si>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</si>
  <si>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</si>
  <si>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</si>
  <si>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</si>
  <si>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</si>
  <si>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</si>
  <si>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</si>
  <si>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</si>
  <si>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</si>
  <si>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</si>
  <si>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</si>
  <si>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</si>
  <si>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</si>
  <si>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</si>
  <si>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</si>
  <si>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</si>
  <si>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</si>
  <si>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</si>
  <si>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</si>
  <si>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</si>
  <si>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</si>
  <si>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</si>
  <si>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</si>
  <si>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</si>
  <si>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</si>
  <si>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</si>
  <si>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</si>
  <si>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</si>
  <si>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</si>
  <si>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</si>
  <si>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</si>
  <si>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</si>
  <si>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</si>
  <si>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</si>
  <si>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</si>
  <si>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</si>
  <si>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</si>
  <si>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</si>
  <si>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</si>
  <si>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</si>
  <si>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</si>
  <si>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</si>
  <si>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</si>
  <si>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</si>
  <si>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</si>
  <si>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</si>
  <si>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</si>
  <si>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</si>
  <si>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</si>
  <si>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</si>
  <si>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</si>
  <si>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</si>
  <si>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</si>
  <si>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</si>
  <si>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</si>
  <si>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</si>
  <si>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</si>
  <si>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</si>
  <si>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</si>
  <si>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</si>
  <si>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</si>
  <si>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</si>
  <si>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</si>
  <si>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</si>
  <si>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</si>
  <si>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</si>
  <si>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</si>
  <si>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</si>
  <si>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</si>
  <si>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</si>
  <si>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</si>
  <si>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</si>
  <si>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</si>
  <si>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</si>
  <si>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</si>
  <si>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</si>
  <si>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</si>
  <si>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</si>
  <si>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</si>
  <si>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</si>
  <si>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</si>
  <si>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</si>
  <si>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</si>
  <si>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</si>
  <si>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</si>
  <si>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</si>
  <si>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</si>
  <si>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</si>
  <si>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</si>
  <si>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</si>
  <si>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</si>
  <si>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</si>
  <si>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</si>
  <si>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</si>
  <si>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</si>
  <si>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</si>
  <si>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</si>
  <si>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</si>
  <si>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</si>
  <si>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</si>
  <si>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</si>
  <si>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</si>
  <si>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</si>
  <si>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</si>
  <si>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</si>
  <si>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</si>
  <si>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</si>
  <si>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</si>
  <si>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</si>
  <si>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</si>
  <si>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</si>
  <si>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</si>
  <si>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</si>
  <si>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</si>
  <si>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</si>
  <si>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</si>
  <si>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</si>
  <si>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</si>
  <si>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</si>
  <si>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</si>
  <si>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</si>
  <si>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</si>
  <si>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</si>
  <si>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</si>
  <si>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</si>
  <si>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</si>
  <si>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</si>
  <si>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</si>
  <si>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</si>
  <si>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</si>
  <si>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</si>
  <si>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</si>
  <si>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</si>
  <si>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</si>
  <si>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</si>
  <si>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</si>
  <si>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</si>
  <si>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</si>
  <si>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</si>
  <si>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</si>
  <si>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</si>
  <si>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</si>
  <si>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</si>
  <si>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</si>
  <si>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</si>
  <si>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</si>
  <si>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</si>
  <si>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</si>
  <si>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</si>
  <si>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</si>
  <si>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</si>
  <si>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</si>
  <si>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</si>
  <si>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</si>
  <si>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</si>
  <si>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</si>
  <si>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</si>
  <si>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</si>
  <si>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</si>
  <si>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</si>
  <si>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</si>
  <si>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</si>
  <si>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</si>
  <si>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</si>
  <si>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</si>
  <si>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</si>
  <si>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</si>
  <si>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</si>
  <si>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</si>
  <si>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</si>
  <si>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</si>
  <si>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</si>
  <si>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</si>
  <si>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</si>
  <si>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</si>
  <si>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</si>
  <si>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</si>
  <si>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</si>
  <si>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</si>
  <si>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</si>
  <si>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</si>
  <si>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</si>
  <si>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</si>
  <si>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</si>
  <si>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</si>
  <si>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</si>
  <si>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</si>
  <si>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</si>
  <si>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</si>
  <si>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</si>
  <si>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</si>
  <si>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</si>
  <si>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</si>
  <si>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</si>
  <si>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</si>
  <si>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</si>
  <si>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</si>
  <si>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</si>
  <si>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</si>
  <si>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</si>
  <si>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</si>
  <si>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</si>
  <si>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</si>
  <si>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</si>
  <si>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</si>
  <si>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</si>
  <si>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</si>
  <si>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</si>
  <si>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</si>
  <si>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</si>
  <si>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</si>
  <si>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</si>
  <si>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</si>
  <si>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</si>
  <si>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</si>
  <si>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</si>
  <si>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</si>
  <si>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</si>
  <si>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</si>
  <si>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</si>
  <si>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</si>
  <si>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</si>
  <si>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</si>
  <si>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</si>
  <si>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</si>
  <si>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</si>
  <si>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</si>
  <si>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</si>
  <si>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</si>
  <si>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</si>
  <si>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</si>
  <si>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</si>
  <si>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</si>
  <si>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</si>
  <si>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</si>
  <si>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</si>
  <si>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</si>
  <si>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</si>
  <si>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</si>
  <si>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</si>
  <si>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</si>
  <si>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</si>
  <si>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</si>
  <si>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</si>
  <si>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</si>
  <si>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</si>
  <si>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</si>
  <si>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</si>
  <si>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</si>
  <si>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</si>
  <si>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</si>
  <si>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</si>
  <si>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</si>
  <si>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</si>
  <si>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</si>
  <si>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</si>
  <si>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</si>
  <si>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</si>
  <si>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</si>
  <si>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</si>
  <si>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</si>
  <si>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</si>
  <si>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</si>
  <si>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</si>
  <si>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</si>
  <si>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</si>
  <si>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</si>
  <si>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</si>
  <si>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</si>
  <si>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</si>
  <si>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</si>
  <si>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</si>
  <si>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</si>
  <si>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</si>
  <si>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</si>
  <si>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</si>
  <si>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</si>
  <si>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</si>
  <si>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</si>
  <si>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</si>
  <si>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</si>
  <si>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</si>
  <si>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</si>
  <si>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</si>
  <si>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</si>
  <si>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</si>
  <si>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</si>
  <si>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</si>
  <si>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</si>
  <si>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</si>
  <si>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</si>
  <si>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</si>
  <si>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</si>
  <si>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</si>
  <si>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</si>
  <si>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</si>
  <si>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</si>
  <si>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</si>
  <si>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</si>
  <si>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</si>
  <si>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</si>
  <si>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</si>
  <si>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</si>
  <si>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</si>
  <si>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</si>
  <si>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</si>
  <si>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</si>
  <si>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</si>
  <si>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</si>
  <si>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</si>
  <si>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</si>
  <si>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</si>
  <si>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</si>
  <si>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</si>
  <si>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</si>
  <si>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</si>
  <si>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</si>
  <si>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</si>
  <si>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</si>
  <si>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</si>
  <si>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</si>
  <si>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</si>
  <si>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</si>
  <si>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</si>
  <si>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</si>
  <si>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</si>
  <si>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</si>
  <si>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</si>
  <si>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</si>
  <si>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</si>
  <si>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</si>
  <si>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</si>
  <si>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</si>
  <si>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</si>
  <si>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</si>
  <si>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</si>
  <si>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</si>
  <si>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</si>
  <si>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</si>
  <si>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</si>
  <si>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</si>
  <si>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</si>
  <si>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</si>
  <si>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</si>
  <si>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</si>
  <si>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</si>
  <si>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</si>
  <si>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</si>
  <si>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</si>
  <si>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</si>
  <si>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</si>
  <si>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</si>
  <si>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</si>
  <si>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</si>
  <si>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</si>
  <si>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</si>
  <si>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</si>
  <si>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</si>
  <si>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</si>
  <si>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</si>
  <si>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</si>
  <si>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</si>
  <si>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</si>
  <si>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</si>
  <si>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</si>
  <si>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</si>
  <si>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</si>
  <si>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</si>
  <si>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</si>
  <si>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</si>
  <si>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</si>
  <si>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</si>
  <si>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</si>
  <si>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</si>
  <si>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</si>
  <si>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</si>
  <si>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</si>
  <si>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</si>
  <si>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</si>
  <si>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</si>
  <si>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</si>
  <si>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</si>
  <si>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</si>
  <si>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</si>
  <si>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</si>
  <si>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</si>
  <si>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</si>
  <si>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</si>
  <si>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</si>
  <si>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</si>
  <si>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</si>
  <si>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</si>
  <si>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</si>
  <si>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</si>
  <si>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</si>
  <si>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</si>
  <si>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</si>
  <si>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</si>
  <si>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</si>
  <si>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</si>
  <si>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</si>
  <si>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</si>
  <si>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</si>
  <si>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</si>
  <si>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</si>
  <si>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</si>
  <si>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</si>
  <si>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</si>
  <si>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</si>
  <si>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</si>
  <si>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</si>
  <si>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</si>
  <si>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</si>
  <si>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</si>
  <si>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</si>
  <si>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</si>
  <si>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</si>
  <si>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</si>
  <si>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</si>
  <si>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</si>
  <si>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</si>
  <si>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</si>
  <si>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</si>
  <si>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</si>
  <si>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</si>
  <si>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</si>
  <si>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</si>
  <si>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</si>
  <si>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</si>
  <si>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</si>
  <si>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</si>
  <si>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</si>
  <si>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</si>
  <si>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</si>
  <si>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</si>
  <si>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</si>
  <si>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</si>
  <si>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</si>
  <si>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</si>
  <si>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</si>
  <si>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</si>
  <si>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</si>
  <si>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</si>
  <si>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</si>
  <si>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</si>
  <si>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</si>
  <si>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</si>
  <si>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</si>
  <si>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</si>
  <si>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</si>
  <si>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</si>
  <si>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</si>
  <si>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</si>
  <si>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</si>
  <si>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</si>
  <si>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</si>
  <si>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</si>
  <si>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</si>
  <si>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</si>
  <si>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</si>
  <si>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</si>
  <si>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</si>
  <si>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</si>
  <si>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</si>
  <si>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</si>
  <si>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</si>
  <si>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</si>
  <si>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</si>
  <si>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</si>
  <si>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</si>
  <si>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</si>
  <si>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</si>
  <si>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</si>
  <si>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</si>
  <si>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</si>
  <si>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</si>
  <si>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</si>
  <si>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</si>
  <si>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</si>
  <si>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</si>
  <si>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</si>
  <si>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</si>
  <si>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</si>
  <si>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</si>
  <si>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</si>
  <si>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</si>
  <si>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</si>
  <si>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</si>
  <si>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</si>
  <si>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</si>
  <si>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</si>
  <si>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</si>
  <si>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</si>
  <si>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</si>
  <si>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</si>
  <si>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</si>
  <si>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</si>
  <si>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</si>
  <si>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</si>
  <si>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</si>
  <si>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</si>
  <si>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</si>
  <si>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</si>
  <si>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</si>
  <si>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</si>
  <si>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</si>
  <si>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</si>
  <si>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</si>
  <si>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</si>
  <si>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</si>
  <si>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</si>
  <si>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</si>
  <si>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</si>
  <si>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</si>
  <si>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</si>
  <si>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</si>
  <si>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</si>
  <si>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</si>
  <si>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</si>
  <si>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</si>
  <si>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</si>
  <si>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</si>
  <si>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</si>
  <si>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</si>
  <si>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</si>
  <si>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</si>
  <si>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</si>
  <si>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</si>
  <si>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</si>
  <si>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</si>
  <si>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</si>
  <si>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</si>
  <si>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</si>
  <si>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</si>
  <si>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</si>
  <si>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</si>
  <si>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</si>
  <si>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</si>
  <si>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</si>
  <si>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</si>
  <si>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</si>
  <si>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</si>
  <si>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</si>
  <si>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</si>
  <si>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</si>
  <si>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</si>
  <si>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</si>
  <si>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</si>
  <si>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</si>
  <si>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</si>
  <si>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</si>
  <si>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</si>
  <si>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</si>
  <si>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</si>
  <si>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</si>
  <si>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</si>
  <si>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</si>
  <si>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</si>
  <si>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</si>
  <si>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</si>
  <si>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</si>
  <si>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</si>
  <si>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</si>
  <si>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</si>
  <si>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</si>
  <si>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</si>
  <si>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</si>
  <si>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</si>
  <si>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</si>
  <si>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</si>
  <si>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</si>
  <si>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</si>
  <si>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</si>
  <si>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</si>
  <si>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</si>
  <si>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</si>
  <si>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</si>
  <si>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</si>
  <si>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</si>
  <si>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</si>
  <si>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</si>
  <si>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</si>
  <si>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</si>
  <si>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</si>
  <si>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</si>
  <si>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</si>
  <si>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</si>
  <si>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</si>
  <si>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</si>
  <si>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</si>
  <si>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</si>
  <si>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</si>
  <si>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</si>
  <si>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</si>
  <si>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</si>
  <si>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</si>
  <si>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</si>
  <si>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</si>
  <si>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</si>
  <si>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</si>
  <si>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</si>
  <si>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</si>
  <si>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</si>
  <si>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</si>
  <si>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</si>
  <si>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</si>
  <si>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</si>
  <si>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</si>
  <si>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</si>
  <si>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</si>
  <si>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</si>
  <si>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</si>
  <si>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</si>
  <si>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</si>
  <si>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</si>
  <si>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</si>
  <si>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</si>
  <si>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</si>
  <si>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</si>
  <si>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</si>
  <si>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</si>
  <si>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</si>
  <si>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</si>
  <si>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</si>
  <si>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</si>
  <si>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</si>
  <si>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</si>
  <si>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</si>
  <si>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</si>
  <si>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</si>
  <si>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</si>
  <si>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</si>
  <si>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</si>
  <si>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</si>
  <si>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</si>
  <si>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</si>
  <si>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</si>
  <si>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</si>
  <si>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</si>
  <si>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</si>
  <si>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</si>
  <si>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</si>
  <si>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</si>
  <si>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</si>
  <si>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</si>
  <si>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</si>
  <si>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</si>
  <si>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</si>
  <si>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</si>
  <si>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</si>
  <si>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</si>
  <si>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</si>
  <si>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</si>
  <si>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</si>
  <si>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</si>
  <si>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</si>
  <si>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</si>
  <si>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</si>
  <si>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</si>
  <si>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</si>
  <si>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</si>
  <si>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</si>
  <si>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</si>
  <si>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</si>
  <si>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</si>
  <si>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</si>
  <si>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</si>
  <si>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</si>
  <si>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</si>
  <si>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</si>
  <si>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</si>
  <si>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</si>
  <si>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</si>
  <si>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</si>
  <si>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</si>
  <si>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</si>
  <si>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</si>
  <si>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</si>
  <si>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</si>
  <si>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</si>
  <si>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</si>
  <si>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</si>
  <si>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Budget 2021</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</si>
  <si>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</si>
  <si>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</si>
  <si>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</si>
  <si>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</si>
  <si>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</si>
  <si>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</si>
  <si>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</si>
  <si>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</si>
  <si>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</si>
  <si>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</si>
  <si>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</si>
  <si>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</si>
  <si>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</si>
  <si>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</si>
  <si>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</si>
  <si>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</si>
  <si>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</si>
  <si>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</si>
  <si>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</si>
  <si>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</si>
  <si>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▲2019</t>
  </si>
  <si>
    <t>% ▲ 2019</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</si>
  <si>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</si>
  <si>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</si>
  <si>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</si>
  <si>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</si>
  <si>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</si>
  <si>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</si>
  <si>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</si>
  <si>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</si>
  <si>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</si>
  <si>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</si>
  <si>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</si>
  <si>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</si>
  <si>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</si>
  <si>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</si>
  <si>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</si>
  <si>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</si>
  <si>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</si>
  <si>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</si>
  <si>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</si>
  <si>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</si>
  <si>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</si>
  <si>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</si>
  <si>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</si>
  <si>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</si>
  <si>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</si>
  <si>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</si>
  <si>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</si>
  <si>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</si>
  <si>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</si>
  <si>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</si>
  <si>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</si>
  <si>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</si>
  <si>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</si>
  <si>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</si>
  <si>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</si>
  <si>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</si>
  <si>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</si>
  <si>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</si>
  <si>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</si>
  <si>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</si>
  <si>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</si>
  <si>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</si>
  <si>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</si>
  <si>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</si>
  <si>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</si>
  <si>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</si>
  <si>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</si>
  <si>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</si>
  <si>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</si>
  <si>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</si>
  <si>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</si>
  <si>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</si>
  <si>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</si>
  <si>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</si>
  <si>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</si>
  <si>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</si>
  <si>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</si>
  <si>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</si>
  <si>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</si>
  <si>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</si>
  <si>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</si>
  <si>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</si>
  <si>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</si>
  <si>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</si>
  <si>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</si>
  <si>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</si>
  <si>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</si>
  <si>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</si>
  <si>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</si>
  <si>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</si>
  <si>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</si>
  <si>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</si>
  <si>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</si>
  <si>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</si>
  <si>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</si>
  <si>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</si>
  <si>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</si>
  <si>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</si>
  <si>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</si>
  <si>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</si>
  <si>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</si>
  <si>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</si>
  <si>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</si>
  <si>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</si>
  <si>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</si>
  <si>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</si>
  <si>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</si>
  <si>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</si>
  <si>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</si>
  <si>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</si>
  <si>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</si>
  <si>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</si>
  <si>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</si>
  <si>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</si>
  <si>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</si>
  <si>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</si>
  <si>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</si>
  <si>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</si>
  <si>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</si>
  <si>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</si>
  <si>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</si>
  <si>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</si>
  <si>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</si>
  <si>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</si>
  <si>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</si>
  <si>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</si>
  <si>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</si>
  <si>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</si>
  <si>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</si>
  <si>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</si>
  <si>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</si>
  <si>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</si>
  <si>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</si>
  <si>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</si>
  <si>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</si>
  <si>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</si>
  <si>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</si>
  <si>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</si>
  <si>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</si>
  <si>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</si>
  <si>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</si>
  <si>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</si>
  <si>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</si>
  <si>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</si>
  <si>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</si>
  <si>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</si>
  <si>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</si>
  <si>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</si>
  <si>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</si>
  <si>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</si>
  <si>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</si>
  <si>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</si>
  <si>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</si>
  <si>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</si>
  <si>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</si>
  <si>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</si>
  <si>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</si>
  <si>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</si>
  <si>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</si>
  <si>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</si>
  <si>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</si>
  <si>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</si>
  <si>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</si>
  <si>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</si>
  <si>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</si>
  <si>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</si>
  <si>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</si>
  <si>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</si>
  <si>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</si>
  <si>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</si>
  <si>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</si>
  <si>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</si>
  <si>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</si>
  <si>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</si>
  <si>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</si>
  <si>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</si>
  <si>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</si>
  <si>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</si>
  <si>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</si>
  <si>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</si>
  <si>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</si>
  <si>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</si>
  <si>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</si>
  <si>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</si>
  <si>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</si>
  <si>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</si>
  <si>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</si>
  <si>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</si>
  <si>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</si>
  <si>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</si>
  <si>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</si>
  <si>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</si>
  <si>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</si>
  <si>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</si>
  <si>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</si>
  <si>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</si>
  <si>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</si>
  <si>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</si>
  <si>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</si>
  <si>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</si>
  <si>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</si>
  <si>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</si>
  <si>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</si>
  <si>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</si>
  <si>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</si>
  <si>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</si>
  <si>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</si>
  <si>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</si>
  <si>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</si>
  <si>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</si>
  <si>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</si>
  <si>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</si>
  <si>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</si>
  <si>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</si>
  <si>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</si>
  <si>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</si>
  <si>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</si>
  <si>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</si>
  <si>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</si>
  <si>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</si>
  <si>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</si>
  <si>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</si>
  <si>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</si>
  <si>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</si>
  <si>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</si>
  <si>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</si>
  <si>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</si>
  <si>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</si>
  <si>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</si>
  <si>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</si>
  <si>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</si>
  <si>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</si>
  <si>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</si>
  <si>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</si>
  <si>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</si>
  <si>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</si>
  <si>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</si>
  <si>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</si>
  <si>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</si>
  <si>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</si>
  <si>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</si>
  <si>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</si>
  <si>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</si>
  <si>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</si>
  <si>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</si>
  <si>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</si>
  <si>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</si>
  <si>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</si>
  <si>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</si>
  <si>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</si>
  <si>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</si>
  <si>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</si>
  <si>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</si>
  <si>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</si>
  <si>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</si>
  <si>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</si>
  <si>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</si>
  <si>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</si>
  <si>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</si>
  <si>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</si>
  <si>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</si>
  <si>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</si>
  <si>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</si>
  <si>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</si>
  <si>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</si>
  <si>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</si>
  <si>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</si>
  <si>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</si>
  <si>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</si>
  <si>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</si>
  <si>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</si>
  <si>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</si>
  <si>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</si>
  <si>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</si>
  <si>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</si>
  <si>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</si>
  <si>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</si>
  <si>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</si>
  <si>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</si>
  <si>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</si>
  <si>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</si>
  <si>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</si>
  <si>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</si>
  <si>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</si>
  <si>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</si>
  <si>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</si>
  <si>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</si>
  <si>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</si>
  <si>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</si>
  <si>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</si>
  <si>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</si>
  <si>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</si>
  <si>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</si>
  <si>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</si>
  <si>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</si>
  <si>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</si>
  <si>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</si>
  <si>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</si>
  <si>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</si>
  <si>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</si>
  <si>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</si>
  <si>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</si>
  <si>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</si>
  <si>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</si>
  <si>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</si>
  <si>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</si>
  <si>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</si>
  <si>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</si>
  <si>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</si>
  <si>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</si>
  <si>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</si>
  <si>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</si>
  <si>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</si>
  <si>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</si>
  <si>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</si>
  <si>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</si>
  <si>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</si>
  <si>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</si>
  <si>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</si>
  <si>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</si>
  <si>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</si>
  <si>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</si>
  <si>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</si>
  <si>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</si>
  <si>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</si>
  <si>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</si>
  <si>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</si>
  <si>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</si>
  <si>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</si>
  <si>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</si>
  <si>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</si>
  <si>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</si>
  <si>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</si>
  <si>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</si>
  <si>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</si>
  <si>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</si>
  <si>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</si>
  <si>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</si>
  <si>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</si>
  <si>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</si>
  <si>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35</t>
  </si>
  <si>
    <t>OCCASION VW + 60 JRS</t>
  </si>
  <si>
    <t>360</t>
  </si>
  <si>
    <t>36</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</si>
  <si>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</si>
  <si>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</si>
  <si>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</si>
  <si>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</si>
  <si>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</si>
  <si>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</si>
  <si>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</si>
  <si>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</si>
  <si>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</si>
  <si>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</si>
  <si>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</si>
  <si>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</si>
  <si>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</si>
  <si>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</si>
  <si>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</si>
  <si>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</si>
  <si>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</si>
  <si>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</si>
  <si>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</si>
  <si>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</si>
  <si>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</si>
  <si>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</si>
  <si>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</si>
  <si>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</si>
  <si>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</si>
  <si>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</si>
  <si>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</si>
  <si>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</si>
  <si>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</si>
  <si>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</si>
  <si>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</si>
  <si>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</si>
  <si>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</si>
  <si>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</si>
  <si>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</si>
  <si>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</si>
  <si>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</si>
  <si>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</si>
  <si>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</si>
  <si>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</si>
  <si>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</si>
  <si>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</si>
  <si>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</si>
  <si>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</si>
  <si>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</si>
  <si>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</si>
  <si>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</si>
  <si>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</si>
  <si>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</si>
  <si>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</si>
  <si>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</si>
  <si>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</si>
  <si>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</si>
  <si>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</si>
  <si>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</si>
  <si>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</si>
  <si>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</si>
  <si>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</si>
  <si>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</si>
  <si>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</si>
  <si>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</si>
  <si>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</si>
  <si>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</si>
  <si>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</si>
  <si>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</si>
  <si>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</si>
  <si>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</si>
  <si>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</si>
  <si>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</si>
  <si>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</si>
  <si>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</si>
  <si>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</si>
  <si>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</si>
  <si>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</si>
  <si>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</si>
  <si>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</si>
  <si>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</si>
  <si>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</si>
  <si>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</si>
  <si>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</si>
  <si>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</si>
  <si>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</si>
  <si>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</si>
  <si>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</si>
  <si>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</si>
  <si>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</si>
  <si>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</si>
  <si>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</si>
  <si>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</si>
  <si>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</si>
  <si>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</si>
  <si>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</si>
  <si>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</si>
  <si>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</si>
  <si>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</si>
  <si>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</si>
  <si>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</si>
  <si>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</si>
  <si>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</si>
  <si>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</si>
  <si>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</si>
  <si>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</si>
  <si>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</si>
  <si>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</si>
  <si>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</si>
  <si>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</si>
  <si>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</si>
  <si>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</si>
  <si>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</si>
  <si>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</si>
  <si>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</si>
  <si>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</si>
  <si>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</si>
  <si>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</si>
  <si>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</si>
  <si>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</si>
  <si>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</si>
  <si>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</si>
  <si>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</si>
  <si>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</si>
  <si>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</si>
  <si>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</si>
  <si>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</si>
  <si>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</si>
  <si>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</si>
  <si>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</si>
  <si>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</si>
  <si>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</si>
  <si>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</si>
  <si>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</si>
  <si>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</si>
  <si>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</si>
  <si>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</si>
  <si>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</si>
  <si>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</si>
  <si>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</si>
  <si>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</si>
  <si>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</si>
  <si>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</si>
  <si>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</si>
  <si>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</si>
  <si>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</si>
  <si>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</si>
  <si>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</si>
  <si>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</si>
  <si>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</si>
  <si>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</si>
  <si>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</si>
  <si>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</si>
  <si>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</si>
  <si>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</si>
  <si>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</si>
  <si>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</si>
  <si>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</si>
  <si>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</si>
  <si>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</si>
  <si>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</si>
  <si>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</si>
  <si>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</si>
  <si>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</si>
  <si>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</si>
  <si>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</si>
  <si>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</si>
  <si>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</si>
  <si>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</si>
  <si>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</si>
  <si>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</si>
  <si>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</si>
  <si>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</si>
  <si>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</si>
  <si>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</si>
  <si>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</si>
  <si>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</si>
  <si>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</si>
  <si>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</si>
  <si>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</si>
  <si>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</si>
  <si>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</si>
  <si>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</si>
  <si>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</si>
  <si>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</si>
  <si>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</si>
  <si>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</si>
  <si>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</si>
  <si>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</si>
  <si>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</si>
  <si>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</si>
  <si>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</si>
  <si>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</si>
  <si>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</si>
  <si>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</si>
  <si>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</si>
  <si>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</si>
  <si>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</si>
  <si>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</si>
  <si>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</si>
  <si>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</si>
  <si>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</si>
  <si>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</si>
  <si>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</si>
  <si>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</si>
  <si>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</si>
  <si>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</si>
  <si>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</si>
  <si>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</si>
  <si>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</si>
  <si>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</si>
  <si>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</si>
  <si>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</si>
  <si>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</si>
  <si>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</si>
  <si>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</si>
  <si>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</si>
  <si>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</si>
  <si>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</si>
  <si>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</si>
  <si>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</si>
  <si>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</si>
  <si>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</si>
  <si>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</si>
  <si>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</si>
  <si>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</si>
  <si>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</si>
  <si>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</si>
  <si>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</si>
  <si>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</si>
  <si>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</si>
  <si>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</si>
  <si>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</si>
  <si>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</si>
  <si>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</si>
  <si>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</si>
  <si>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</si>
  <si>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</si>
  <si>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</si>
  <si>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</si>
  <si>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</si>
  <si>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</si>
  <si>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</si>
  <si>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</si>
  <si>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</si>
  <si>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</si>
  <si>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</si>
  <si>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</si>
  <si>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</si>
  <si>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</si>
  <si>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</si>
  <si>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</si>
  <si>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</si>
  <si>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</si>
  <si>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</si>
  <si>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</si>
  <si>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</si>
  <si>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</si>
  <si>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</si>
  <si>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</si>
  <si>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</si>
  <si>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</si>
  <si>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</si>
  <si>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</si>
  <si>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</si>
  <si>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</si>
  <si>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</si>
  <si>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</si>
  <si>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</si>
  <si>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</si>
  <si>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</si>
  <si>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</si>
  <si>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</si>
  <si>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</si>
  <si>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</si>
  <si>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</si>
  <si>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</si>
  <si>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</si>
  <si>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</si>
  <si>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</si>
  <si>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</si>
  <si>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</si>
  <si>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</si>
  <si>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</si>
  <si>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</si>
  <si>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</si>
  <si>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</si>
  <si>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</si>
  <si>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</si>
  <si>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</si>
  <si>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</si>
  <si>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</si>
  <si>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</si>
  <si>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</si>
  <si>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</si>
  <si>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</si>
  <si>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</si>
  <si>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</si>
  <si>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</si>
  <si>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</si>
  <si>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</si>
  <si>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</si>
  <si>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</si>
  <si>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</si>
  <si>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</si>
  <si>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</si>
  <si>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</si>
  <si>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</si>
  <si>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</si>
  <si>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</si>
  <si>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</si>
  <si>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</si>
  <si>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</si>
  <si>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</si>
  <si>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</si>
  <si>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</si>
  <si>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</si>
  <si>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</si>
  <si>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</si>
  <si>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</si>
  <si>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</si>
  <si>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</si>
  <si>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</si>
  <si>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</si>
  <si>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</si>
  <si>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</si>
  <si>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</si>
  <si>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</si>
  <si>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</si>
  <si>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</si>
  <si>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</si>
  <si>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</si>
  <si>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</si>
  <si>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</si>
  <si>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</si>
  <si>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</si>
  <si>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</si>
  <si>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</si>
  <si>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</si>
  <si>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</si>
  <si>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</si>
  <si>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</si>
  <si>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</si>
  <si>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</si>
  <si>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</si>
  <si>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</si>
  <si>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</si>
  <si>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</si>
  <si>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</si>
  <si>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</si>
  <si>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</si>
  <si>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</si>
  <si>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</si>
  <si>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</si>
  <si>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</si>
  <si>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</si>
  <si>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</si>
  <si>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</si>
  <si>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</si>
  <si>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</si>
  <si>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</si>
  <si>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</si>
  <si>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</si>
  <si>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</si>
  <si>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</si>
  <si>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</si>
  <si>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</si>
  <si>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</si>
  <si>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</si>
  <si>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</si>
  <si>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</si>
  <si>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</si>
  <si>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</si>
  <si>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</si>
  <si>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</si>
  <si>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</si>
  <si>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</si>
  <si>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</si>
  <si>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</si>
  <si>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</si>
  <si>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</si>
  <si>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</si>
  <si>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</si>
  <si>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</si>
  <si>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</si>
  <si>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</si>
  <si>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</si>
  <si>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</si>
  <si>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</si>
  <si>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</si>
  <si>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</si>
  <si>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</si>
  <si>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</si>
  <si>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</si>
  <si>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</si>
  <si>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</si>
  <si>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</si>
  <si>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</si>
  <si>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</si>
  <si>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</si>
  <si>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</si>
  <si>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</si>
  <si>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</si>
  <si>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</si>
  <si>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</si>
  <si>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</si>
  <si>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</si>
  <si>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</si>
  <si>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</si>
  <si>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</si>
  <si>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</si>
  <si>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</si>
  <si>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</si>
  <si>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</si>
  <si>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</si>
  <si>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</si>
  <si>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</si>
  <si>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</si>
  <si>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</si>
  <si>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</si>
  <si>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</si>
  <si>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</si>
  <si>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</si>
  <si>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</si>
  <si>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</si>
  <si>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</si>
  <si>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</si>
  <si>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</si>
  <si>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</si>
  <si>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</si>
  <si>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</si>
  <si>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</si>
  <si>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</si>
  <si>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</si>
  <si>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</si>
  <si>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</si>
  <si>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</si>
  <si>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</si>
  <si>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</si>
  <si>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</si>
  <si>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</si>
  <si>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</si>
  <si>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</si>
  <si>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</si>
  <si>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</si>
  <si>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</si>
  <si>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</si>
  <si>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</si>
  <si>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</si>
  <si>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</si>
  <si>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</si>
  <si>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</si>
  <si>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</si>
  <si>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</si>
  <si>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</si>
  <si>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</si>
  <si>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</si>
  <si>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</si>
  <si>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</si>
  <si>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</si>
  <si>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</si>
  <si>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</si>
  <si>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</si>
  <si>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</si>
  <si>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</si>
  <si>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</si>
  <si>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</si>
  <si>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</si>
  <si>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</si>
  <si>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</si>
  <si>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</si>
  <si>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</si>
  <si>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</si>
  <si>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</si>
  <si>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</si>
  <si>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</si>
  <si>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</si>
  <si>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</si>
  <si>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</si>
  <si>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</si>
  <si>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</si>
  <si>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</si>
  <si>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</si>
  <si>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</si>
  <si>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</si>
  <si>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</si>
  <si>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</si>
  <si>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</si>
  <si>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</si>
  <si>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</si>
  <si>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</si>
  <si>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</si>
  <si>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</si>
  <si>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</si>
  <si>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</si>
  <si>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</si>
  <si>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</si>
  <si>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</si>
  <si>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</si>
  <si>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</si>
  <si>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</si>
  <si>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</si>
  <si>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</si>
  <si>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</si>
  <si>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</si>
  <si>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</si>
  <si>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</si>
  <si>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</si>
  <si>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</si>
  <si>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</si>
  <si>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</si>
  <si>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</si>
  <si>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</si>
  <si>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</si>
  <si>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</si>
  <si>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</si>
  <si>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</si>
  <si>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</si>
  <si>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</si>
  <si>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</si>
  <si>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</si>
  <si>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</si>
  <si>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</si>
  <si>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</si>
  <si>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</si>
  <si>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</si>
  <si>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</si>
  <si>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</si>
  <si>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</si>
  <si>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</si>
  <si>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</si>
  <si>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</si>
  <si>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</si>
  <si>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</si>
  <si>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</si>
  <si>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</si>
  <si>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</si>
  <si>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</si>
  <si>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</si>
  <si>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</si>
  <si>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</si>
  <si>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</si>
  <si>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</si>
  <si>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</si>
  <si>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</si>
  <si>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</si>
  <si>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</si>
  <si>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</si>
  <si>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</si>
  <si>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</si>
  <si>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</si>
  <si>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</si>
  <si>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</si>
  <si>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</si>
  <si>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</si>
  <si>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</si>
  <si>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</si>
  <si>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</si>
  <si>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</si>
  <si>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</si>
  <si>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</si>
  <si>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</si>
  <si>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</si>
  <si>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</si>
  <si>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</si>
  <si>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</si>
  <si>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</si>
  <si>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</si>
  <si>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</si>
  <si>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</si>
  <si>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</si>
  <si>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</si>
  <si>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</si>
  <si>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</si>
  <si>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</si>
  <si>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</si>
  <si>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</si>
  <si>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</si>
  <si>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</si>
  <si>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</si>
  <si>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</si>
  <si>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</si>
  <si>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</si>
  <si>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</si>
  <si>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</si>
  <si>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</si>
  <si>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</si>
  <si>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</si>
  <si>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</si>
  <si>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</si>
  <si>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564</t>
  </si>
  <si>
    <t>RESERVE CREANCE DOUTEUSES</t>
  </si>
  <si>
    <t>1399</t>
  </si>
  <si>
    <t>RESERVE DEMO</t>
  </si>
  <si>
    <t>1423</t>
  </si>
  <si>
    <t>RESERVE COURTOISIE</t>
  </si>
  <si>
    <t>1433</t>
  </si>
  <si>
    <t>143</t>
  </si>
  <si>
    <t>AUTRES MARQUES P&amp;A</t>
  </si>
  <si>
    <t>1448</t>
  </si>
  <si>
    <t>Pierre Charles -67%</t>
  </si>
  <si>
    <t>Pierre Charles +67%.5 - 100% x .5</t>
  </si>
  <si>
    <t>moin 3 versus budget</t>
  </si>
  <si>
    <t>3 commis en moin</t>
  </si>
  <si>
    <t>Luc .5 de moin</t>
  </si>
  <si>
    <t>rémi de plus 5.5k et allocation % 8% versus 4% corrigé feb</t>
  </si>
  <si>
    <t>NEUF</t>
  </si>
  <si>
    <t>USAGE</t>
  </si>
  <si>
    <t>SERVICE</t>
  </si>
  <si>
    <t>CARROSSERIE</t>
  </si>
  <si>
    <t>PIECES</t>
  </si>
  <si>
    <t>less bonus and   67% Pierre Charles and 50% Luc</t>
  </si>
  <si>
    <t>P&amp;L</t>
  </si>
  <si>
    <t>Selling and Marketing</t>
  </si>
  <si>
    <t>S&amp;M / Brut</t>
  </si>
  <si>
    <t>General &amp; administrative</t>
  </si>
  <si>
    <t>G&amp;A / Brut</t>
  </si>
  <si>
    <t>EBITDA</t>
  </si>
  <si>
    <t>EBITDA %</t>
  </si>
  <si>
    <t>EBIT</t>
  </si>
  <si>
    <t>EBIT %</t>
  </si>
  <si>
    <t>VISA</t>
  </si>
  <si>
    <t>1103</t>
  </si>
  <si>
    <t>MASTER CARD (CANADA TRUST)</t>
  </si>
  <si>
    <t>1104</t>
  </si>
  <si>
    <t>TELE DEBIT</t>
  </si>
  <si>
    <t>1105</t>
  </si>
  <si>
    <t>RECEV. INTERCO</t>
  </si>
  <si>
    <t>1362</t>
  </si>
  <si>
    <t>37</t>
  </si>
  <si>
    <t>VTES -VTE - ATLAS CROSS SPORT</t>
  </si>
  <si>
    <t>4121</t>
  </si>
  <si>
    <t># DE VTE - ATLAS CROSS SPORT</t>
  </si>
  <si>
    <t>4121@</t>
  </si>
  <si>
    <t>C/V - ATLAS CROSS SPORT</t>
  </si>
  <si>
    <t>5121</t>
  </si>
  <si>
    <t># DE INV.VEH.USAGE AUDI</t>
  </si>
  <si>
    <t>1418@</t>
  </si>
  <si>
    <t>1418</t>
  </si>
  <si>
    <t>1524</t>
  </si>
  <si>
    <t>Media 360 set up , javier et feb</t>
  </si>
  <si>
    <t>3.5 vs 5 au budget au target bonis pas atteint a 100%</t>
  </si>
  <si>
    <t>UNITES NEUVES-VW EN INV.</t>
  </si>
  <si>
    <t>320</t>
  </si>
  <si>
    <t>32</t>
  </si>
  <si>
    <t>UNITES NEUVES-A.M. EN INV.</t>
  </si>
  <si>
    <t>329</t>
  </si>
  <si>
    <t>new CSI selon volume arrivae</t>
  </si>
  <si>
    <t>Avantage plus Q1 front loaded vs Budget spread</t>
  </si>
  <si>
    <t>Neuf</t>
  </si>
  <si>
    <t>corr</t>
  </si>
  <si>
    <t>DAS</t>
  </si>
  <si>
    <t>BM</t>
  </si>
  <si>
    <t>Masse salariale</t>
  </si>
  <si>
    <t>Carosserie</t>
  </si>
  <si>
    <t>Piece</t>
  </si>
  <si>
    <t>Ben Marginaux</t>
  </si>
  <si>
    <t>CORRECTION ENTRE DEPT</t>
  </si>
  <si>
    <t>Caroline en maladie</t>
  </si>
  <si>
    <t xml:space="preserve">erreur pneu 2019 vendu mais cleint ont appelé apres pour avoir mais $10k vente de pneu en réserve - </t>
  </si>
  <si>
    <t>pneu/veh aad</t>
  </si>
  <si>
    <t>bonification vendeur</t>
  </si>
  <si>
    <t>VTE - RACHAT BAIL AUDI</t>
  </si>
  <si>
    <t>4200</t>
  </si>
  <si>
    <t>5e valet + Josee Massie + OT valet et homme de cout</t>
  </si>
  <si>
    <t>correction Jess used</t>
  </si>
  <si>
    <t>less cash deals 6 only</t>
  </si>
  <si>
    <t>plus 30 k versu estimé</t>
  </si>
  <si>
    <t>VTES -TAOS</t>
  </si>
  <si>
    <t>4118</t>
  </si>
  <si>
    <t>4117</t>
  </si>
  <si>
    <t>TAOS</t>
  </si>
  <si>
    <t>4118@</t>
  </si>
  <si>
    <t>C/V - TAOS</t>
  </si>
  <si>
    <t>5118</t>
  </si>
  <si>
    <t>VTE - TAOS</t>
  </si>
  <si>
    <t># DE VTE - TAOS</t>
  </si>
  <si>
    <t>ATLAS</t>
  </si>
  <si>
    <t>ATLAS SPORT</t>
  </si>
  <si>
    <t>TIGUAN</t>
  </si>
  <si>
    <t>SWAP JUNE</t>
  </si>
  <si>
    <t>Compte de depense a payer</t>
  </si>
  <si>
    <t>250</t>
  </si>
  <si>
    <t>2502</t>
  </si>
  <si>
    <t xml:space="preserve">relache de réserve +$58.55/u
67 véhicules vendu égal au budget avec une marge à $1,908 (incluant détail, ex démo courtoisie et flotte), +595/u vs budget de $1,313. Le profit F&amp;I est de $851 vs budget à $850. Donnant une avance de $42k au niveau du brute. Avec des coût variable additionnel requis pour supporter le un brute à la hausse ainsi qu'une bonne gestion des semi-fixes et fixes, le profit net départemental est supérieur au budget de $33,469. 
</t>
  </si>
  <si>
    <t xml:space="preserve">Ventes de 41 véhicules détails vs budget de 36 avec marge de $1,630 vs $750. Le profit F&amp;I est de $2,530 vs $1,715. Wholesale +$3,868. Un gain de $85k sur le brute vs le budget.  Avec des coût variable additionnel requis pour supporter le un brute à la hausse ainsi qu'une bonne gestion des semi-fixes et fixes, le profit net départemental est supérieur au budget de $70,205. </t>
  </si>
  <si>
    <t xml:space="preserve">Brute $29,352 inférieur au budget de $164,630. Provenant de garantie (-$20,648) et client(-$9,071). Avec des dépenses inférieurs au budget, le profit départemental est supérieur au budget +$5,907. À la carrosserie, un brute et net inférieur au budget de $9,819 et $6,646 respectivement. </t>
  </si>
  <si>
    <t>Brute $19,467 inférieur au budget de $112,234.  Provenant de carrosserie (-$9,972), garantie (-$7,738) et client(-$1,562). Un bon contrôle des dépenses à partiellement réduit l'écart défavorable au budget au niveau du profit départemental de -$7,887 vs budget.</t>
  </si>
  <si>
    <t>Overall, une bonne exécution de stratégie de front pour prendre avantage du marché, une performance exceptionnel au niveau du back, combiné avec une bonne gestion des coûts et une maximisation des opportunités par l'équipe des opérations fixes à résulté dans un  profit départemental favorable.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</si>
</sst>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quot;$&quot;#,##0_);[Red]\(&quot;$&quot;#,##0\)"/>
    <numFmt numFmtId="43" formatCode="_(* #,##0.00_);_(* \(#,##0.00\);_(* &quot;-&quot;??_);_(@_)"/>
    <numFmt numFmtId="164" formatCode="_ * #,##0_)\ _$_ ;_ * \(#,##0\)\ _$_ ;_ * &quot;-&quot;_)\ _$_ ;_ @_ "/>
    <numFmt numFmtId="165" formatCode="&quot;$&quot;#,##0"/>
    <numFmt numFmtId="166" formatCode="_-* #,##0\ _$_-;_-* #,##0\ _$\-;_-* &quot;-&quot;??\ _$_-;_-@"/>
    <numFmt numFmtId="167" formatCode="_(* #,##0_);_(* \(#,##0\);_(* &quot;-&quot;??_);_(@_)"/>
    <numFmt numFmtId="168" formatCode="dd\/mm\/yy_)"/>
    <numFmt numFmtId="169" formatCode="0.0%"/>
    <numFmt numFmtId="170" formatCode="0_)"/>
    <numFmt numFmtId="171" formatCode="0.00_)"/>
    <numFmt numFmtId="172" formatCode="#,###.00;\-#,###.00;.00"/>
    <numFmt numFmtId="173" formatCode="#.00;\-#.00;.00"/>
    <numFmt numFmtId="174" formatCode="#,###.00;\-#,###.00;.00;@"/>
    <numFmt numFmtId="175" formatCode="0.00000000000000%"/>
  </numFmts>
  <fonts count="80">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u/>
      <sz val="11"/>
      <color theme="10"/>
      <name val="Arial"/>
      <family val="2"/>
    </font>
  </fonts>
  <fills count="3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rgb="FFFFC000"/>
        <bgColor rgb="FFDBE5F1"/>
      </patternFill>
    </fill>
  </fills>
  <borders count="209">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2">
    <xf numFmtId="0" fontId="0" fillId="0" borderId="0"/>
    <xf numFmtId="9" fontId="45" fillId="0" borderId="0" applyFont="0" applyFill="0" applyBorder="0" applyAlignment="0" applyProtection="0"/>
    <xf numFmtId="0" fontId="9" fillId="0" borderId="1"/>
    <xf numFmtId="0" fontId="8" fillId="0" borderId="1"/>
    <xf numFmtId="9" fontId="8" fillId="0" borderId="1" applyFont="0" applyFill="0" applyBorder="0" applyAlignment="0" applyProtection="0"/>
    <xf numFmtId="43" fontId="75" fillId="0" borderId="0" applyFont="0" applyFill="0" applyBorder="0" applyAlignment="0" applyProtection="0"/>
    <xf numFmtId="0" fontId="7" fillId="0" borderId="1"/>
    <xf numFmtId="0" fontId="6" fillId="0" borderId="1"/>
    <xf numFmtId="0" fontId="5" fillId="0" borderId="1"/>
    <xf numFmtId="0" fontId="3" fillId="0" borderId="1"/>
    <xf numFmtId="0" fontId="79" fillId="0" borderId="0" applyNumberFormat="0" applyFill="0" applyBorder="0" applyAlignment="0" applyProtection="0"/>
    <xf numFmtId="0" fontId="1" fillId="0" borderId="1"/>
  </cellStyleXfs>
  <cellXfs count="1173">
    <xf numFmtId="0" fontId="0" fillId="0" borderId="0" xfId="0" applyFont="1" applyAlignment="1"/>
    <xf numFmtId="0" fontId="10" fillId="0" borderId="0" xfId="0" applyFont="1"/>
    <xf numFmtId="0" fontId="11" fillId="0" borderId="0" xfId="0" applyFont="1"/>
    <xf numFmtId="0" fontId="11" fillId="2" borderId="1" xfId="0" applyFont="1" applyFill="1" applyBorder="1" applyAlignment="1">
      <alignment horizontal="center"/>
    </xf>
    <xf numFmtId="0" fontId="12" fillId="0" borderId="0" xfId="0" applyFont="1" applyAlignment="1">
      <alignment horizontal="left"/>
    </xf>
    <xf numFmtId="0" fontId="13" fillId="0" borderId="0" xfId="0" applyFont="1" applyAlignment="1">
      <alignment horizontal="center"/>
    </xf>
    <xf numFmtId="0" fontId="13" fillId="0" borderId="0" xfId="0" applyFont="1" applyAlignment="1">
      <alignment horizontal="right"/>
    </xf>
    <xf numFmtId="0" fontId="12" fillId="0" borderId="0" xfId="0" applyFont="1"/>
    <xf numFmtId="0" fontId="14" fillId="0" borderId="2" xfId="0" applyFont="1" applyBorder="1"/>
    <xf numFmtId="0" fontId="16" fillId="0" borderId="4" xfId="0" applyFont="1" applyBorder="1"/>
    <xf numFmtId="0" fontId="14" fillId="0" borderId="6" xfId="0" applyFont="1" applyBorder="1"/>
    <xf numFmtId="0" fontId="16" fillId="0" borderId="6" xfId="0" applyFont="1" applyBorder="1"/>
    <xf numFmtId="0" fontId="16" fillId="3" borderId="8" xfId="0" applyFont="1" applyFill="1" applyBorder="1"/>
    <xf numFmtId="0" fontId="16" fillId="3" borderId="10" xfId="0" applyFont="1" applyFill="1" applyBorder="1"/>
    <xf numFmtId="0" fontId="15" fillId="0" borderId="6" xfId="0" applyFont="1" applyBorder="1"/>
    <xf numFmtId="166" fontId="11" fillId="0" borderId="0" xfId="0" applyNumberFormat="1" applyFont="1"/>
    <xf numFmtId="0" fontId="11" fillId="0" borderId="6" xfId="0" applyFont="1" applyBorder="1"/>
    <xf numFmtId="167" fontId="11" fillId="0" borderId="0" xfId="0" applyNumberFormat="1" applyFont="1"/>
    <xf numFmtId="0" fontId="13" fillId="0" borderId="0" xfId="0" applyFont="1"/>
    <xf numFmtId="0" fontId="18" fillId="0" borderId="0" xfId="0" applyFont="1" applyAlignment="1">
      <alignment horizontal="center" vertical="center"/>
    </xf>
    <xf numFmtId="3" fontId="13" fillId="0" borderId="0" xfId="0" applyNumberFormat="1" applyFont="1"/>
    <xf numFmtId="0" fontId="18" fillId="0" borderId="0" xfId="0" applyFont="1"/>
    <xf numFmtId="168" fontId="19" fillId="0" borderId="0" xfId="0" applyNumberFormat="1" applyFont="1" applyAlignment="1">
      <alignment horizontal="left"/>
    </xf>
    <xf numFmtId="0" fontId="19" fillId="0" borderId="0" xfId="0" applyFont="1"/>
    <xf numFmtId="0" fontId="20" fillId="0" borderId="0" xfId="0" applyFont="1"/>
    <xf numFmtId="0" fontId="21" fillId="0" borderId="0" xfId="0" applyFont="1"/>
    <xf numFmtId="37" fontId="22" fillId="3" borderId="14" xfId="0" applyNumberFormat="1" applyFont="1" applyFill="1" applyBorder="1"/>
    <xf numFmtId="3" fontId="22" fillId="3" borderId="14" xfId="0" applyNumberFormat="1" applyFont="1" applyFill="1" applyBorder="1"/>
    <xf numFmtId="37" fontId="22" fillId="3" borderId="9" xfId="0" applyNumberFormat="1" applyFont="1" applyFill="1" applyBorder="1"/>
    <xf numFmtId="37" fontId="22" fillId="3" borderId="8" xfId="0" applyNumberFormat="1" applyFont="1" applyFill="1" applyBorder="1"/>
    <xf numFmtId="170" fontId="22" fillId="3" borderId="14" xfId="0" applyNumberFormat="1" applyFont="1" applyFill="1" applyBorder="1"/>
    <xf numFmtId="0" fontId="22" fillId="3" borderId="10" xfId="0" applyFont="1" applyFill="1" applyBorder="1"/>
    <xf numFmtId="0" fontId="22" fillId="3" borderId="11" xfId="0" applyFont="1" applyFill="1" applyBorder="1"/>
    <xf numFmtId="169" fontId="22" fillId="3" borderId="10" xfId="0" applyNumberFormat="1" applyFont="1" applyFill="1" applyBorder="1"/>
    <xf numFmtId="169" fontId="22" fillId="3" borderId="11" xfId="0" applyNumberFormat="1" applyFont="1" applyFill="1" applyBorder="1"/>
    <xf numFmtId="0" fontId="22" fillId="4" borderId="1" xfId="0" applyFont="1" applyFill="1" applyBorder="1"/>
    <xf numFmtId="0" fontId="21" fillId="0" borderId="0" xfId="0" applyFont="1" applyAlignment="1">
      <alignment horizontal="right"/>
    </xf>
    <xf numFmtId="37" fontId="21" fillId="0" borderId="0" xfId="0" applyNumberFormat="1" applyFont="1"/>
    <xf numFmtId="0" fontId="22" fillId="3" borderId="16" xfId="0" applyFont="1" applyFill="1" applyBorder="1"/>
    <xf numFmtId="0" fontId="22" fillId="3" borderId="17" xfId="0" applyFont="1" applyFill="1" applyBorder="1" applyAlignment="1">
      <alignment horizontal="center"/>
    </xf>
    <xf numFmtId="169" fontId="22" fillId="3" borderId="17" xfId="0" applyNumberFormat="1" applyFont="1" applyFill="1" applyBorder="1"/>
    <xf numFmtId="37" fontId="22" fillId="3" borderId="18" xfId="0" applyNumberFormat="1" applyFont="1" applyFill="1" applyBorder="1"/>
    <xf numFmtId="0" fontId="22" fillId="3" borderId="16" xfId="0" applyFont="1" applyFill="1" applyBorder="1" applyAlignment="1">
      <alignment horizontal="center"/>
    </xf>
    <xf numFmtId="0" fontId="21" fillId="3" borderId="13" xfId="0" applyFont="1" applyFill="1" applyBorder="1"/>
    <xf numFmtId="0" fontId="21" fillId="3" borderId="16" xfId="0" applyFont="1" applyFill="1" applyBorder="1"/>
    <xf numFmtId="37" fontId="22" fillId="0" borderId="0" xfId="0" applyNumberFormat="1" applyFont="1"/>
    <xf numFmtId="37" fontId="22" fillId="3" borderId="19" xfId="0" applyNumberFormat="1" applyFont="1" applyFill="1" applyBorder="1"/>
    <xf numFmtId="0" fontId="21" fillId="4" borderId="1" xfId="0" applyFont="1" applyFill="1" applyBorder="1"/>
    <xf numFmtId="37" fontId="22" fillId="4" borderId="15" xfId="0" applyNumberFormat="1" applyFont="1" applyFill="1" applyBorder="1"/>
    <xf numFmtId="0" fontId="21" fillId="4" borderId="12" xfId="0" applyFont="1" applyFill="1" applyBorder="1"/>
    <xf numFmtId="0" fontId="21" fillId="4" borderId="13" xfId="0" applyFont="1" applyFill="1" applyBorder="1"/>
    <xf numFmtId="0" fontId="21" fillId="4" borderId="22" xfId="0" applyFont="1" applyFill="1" applyBorder="1"/>
    <xf numFmtId="37" fontId="22" fillId="4" borderId="19" xfId="0" applyNumberFormat="1" applyFont="1" applyFill="1" applyBorder="1"/>
    <xf numFmtId="0" fontId="25" fillId="0" borderId="0" xfId="0" applyFont="1"/>
    <xf numFmtId="0" fontId="26" fillId="0" borderId="0" xfId="0" applyFont="1"/>
    <xf numFmtId="37" fontId="26" fillId="0" borderId="0" xfId="0" applyNumberFormat="1" applyFont="1"/>
    <xf numFmtId="0" fontId="22" fillId="0" borderId="0" xfId="0" applyFont="1"/>
    <xf numFmtId="37" fontId="19" fillId="0" borderId="0" xfId="0" applyNumberFormat="1" applyFont="1"/>
    <xf numFmtId="37" fontId="22" fillId="4" borderId="14" xfId="0" applyNumberFormat="1" applyFont="1" applyFill="1" applyBorder="1"/>
    <xf numFmtId="37" fontId="22" fillId="4" borderId="9" xfId="0" applyNumberFormat="1" applyFont="1" applyFill="1" applyBorder="1"/>
    <xf numFmtId="37" fontId="22" fillId="4" borderId="8" xfId="0" applyNumberFormat="1" applyFont="1" applyFill="1" applyBorder="1"/>
    <xf numFmtId="169" fontId="22" fillId="4" borderId="8" xfId="0" applyNumberFormat="1" applyFont="1" applyFill="1" applyBorder="1"/>
    <xf numFmtId="37" fontId="22" fillId="4" borderId="22" xfId="0" applyNumberFormat="1" applyFont="1" applyFill="1" applyBorder="1"/>
    <xf numFmtId="169" fontId="22" fillId="4" borderId="19" xfId="0" applyNumberFormat="1" applyFont="1" applyFill="1" applyBorder="1"/>
    <xf numFmtId="37" fontId="22" fillId="4" borderId="13" xfId="0" applyNumberFormat="1" applyFont="1" applyFill="1" applyBorder="1"/>
    <xf numFmtId="39" fontId="22" fillId="4" borderId="22" xfId="0" applyNumberFormat="1" applyFont="1" applyFill="1" applyBorder="1"/>
    <xf numFmtId="37" fontId="22" fillId="4" borderId="24" xfId="0" applyNumberFormat="1" applyFont="1" applyFill="1" applyBorder="1"/>
    <xf numFmtId="170" fontId="22" fillId="4" borderId="24" xfId="0" applyNumberFormat="1" applyFont="1" applyFill="1" applyBorder="1"/>
    <xf numFmtId="37" fontId="22" fillId="4" borderId="25" xfId="0" applyNumberFormat="1" applyFont="1" applyFill="1" applyBorder="1"/>
    <xf numFmtId="37" fontId="22" fillId="4" borderId="23" xfId="0" applyNumberFormat="1" applyFont="1" applyFill="1" applyBorder="1"/>
    <xf numFmtId="169" fontId="22" fillId="3" borderId="8" xfId="0" applyNumberFormat="1" applyFont="1" applyFill="1" applyBorder="1"/>
    <xf numFmtId="169" fontId="22" fillId="3" borderId="14" xfId="0" applyNumberFormat="1" applyFont="1" applyFill="1" applyBorder="1"/>
    <xf numFmtId="169" fontId="22" fillId="3" borderId="26" xfId="0" applyNumberFormat="1" applyFont="1" applyFill="1" applyBorder="1"/>
    <xf numFmtId="37" fontId="22" fillId="3" borderId="27" xfId="0" applyNumberFormat="1" applyFont="1" applyFill="1" applyBorder="1"/>
    <xf numFmtId="37" fontId="22" fillId="3" borderId="29" xfId="0" applyNumberFormat="1" applyFont="1" applyFill="1" applyBorder="1"/>
    <xf numFmtId="170" fontId="22" fillId="3" borderId="29" xfId="0" applyNumberFormat="1" applyFont="1" applyFill="1" applyBorder="1"/>
    <xf numFmtId="37" fontId="22" fillId="3" borderId="30" xfId="0" applyNumberFormat="1" applyFont="1" applyFill="1" applyBorder="1"/>
    <xf numFmtId="37" fontId="22" fillId="3" borderId="28" xfId="0" applyNumberFormat="1" applyFont="1" applyFill="1" applyBorder="1"/>
    <xf numFmtId="0" fontId="21" fillId="3" borderId="10" xfId="0" applyFont="1" applyFill="1" applyBorder="1"/>
    <xf numFmtId="0" fontId="29" fillId="0" borderId="0" xfId="0" applyFont="1"/>
    <xf numFmtId="0" fontId="18" fillId="0" borderId="0" xfId="0" applyFont="1" applyAlignment="1">
      <alignment horizontal="right" vertical="center"/>
    </xf>
    <xf numFmtId="0" fontId="30" fillId="3" borderId="22" xfId="0" applyFont="1" applyFill="1" applyBorder="1"/>
    <xf numFmtId="37" fontId="30" fillId="3" borderId="32" xfId="0" applyNumberFormat="1" applyFont="1" applyFill="1" applyBorder="1"/>
    <xf numFmtId="37" fontId="30" fillId="3" borderId="33" xfId="0" applyNumberFormat="1" applyFont="1" applyFill="1" applyBorder="1"/>
    <xf numFmtId="37" fontId="30" fillId="3" borderId="22" xfId="0" applyNumberFormat="1" applyFont="1" applyFill="1" applyBorder="1"/>
    <xf numFmtId="169" fontId="30" fillId="3" borderId="22" xfId="0" applyNumberFormat="1" applyFont="1" applyFill="1" applyBorder="1"/>
    <xf numFmtId="37" fontId="30" fillId="3" borderId="34" xfId="0" applyNumberFormat="1" applyFont="1" applyFill="1" applyBorder="1"/>
    <xf numFmtId="37" fontId="24" fillId="0" borderId="35" xfId="0" applyNumberFormat="1" applyFont="1" applyBorder="1"/>
    <xf numFmtId="0" fontId="30" fillId="3" borderId="17" xfId="0" applyFont="1" applyFill="1" applyBorder="1"/>
    <xf numFmtId="169" fontId="30" fillId="3" borderId="17" xfId="0" applyNumberFormat="1" applyFont="1" applyFill="1" applyBorder="1"/>
    <xf numFmtId="37" fontId="30" fillId="3" borderId="21" xfId="0" applyNumberFormat="1" applyFont="1" applyFill="1" applyBorder="1"/>
    <xf numFmtId="169" fontId="30" fillId="3" borderId="20" xfId="0" applyNumberFormat="1" applyFont="1" applyFill="1" applyBorder="1"/>
    <xf numFmtId="0" fontId="30" fillId="3" borderId="20" xfId="0" applyFont="1" applyFill="1" applyBorder="1"/>
    <xf numFmtId="37" fontId="30" fillId="3" borderId="17" xfId="0" applyNumberFormat="1" applyFont="1" applyFill="1" applyBorder="1"/>
    <xf numFmtId="0" fontId="30" fillId="3" borderId="36" xfId="0" applyFont="1" applyFill="1" applyBorder="1"/>
    <xf numFmtId="43" fontId="19" fillId="0" borderId="0" xfId="0" applyNumberFormat="1" applyFont="1"/>
    <xf numFmtId="43" fontId="29" fillId="0" borderId="0" xfId="0" applyNumberFormat="1" applyFont="1"/>
    <xf numFmtId="169" fontId="24" fillId="0" borderId="35" xfId="0" applyNumberFormat="1" applyFont="1" applyBorder="1"/>
    <xf numFmtId="170" fontId="30" fillId="3" borderId="17" xfId="0" applyNumberFormat="1" applyFont="1" applyFill="1" applyBorder="1"/>
    <xf numFmtId="37" fontId="30" fillId="3" borderId="20" xfId="0" applyNumberFormat="1" applyFont="1" applyFill="1" applyBorder="1"/>
    <xf numFmtId="37" fontId="30" fillId="3" borderId="36" xfId="0" applyNumberFormat="1" applyFont="1" applyFill="1" applyBorder="1"/>
    <xf numFmtId="37" fontId="29" fillId="0" borderId="0" xfId="0" applyNumberFormat="1" applyFont="1"/>
    <xf numFmtId="167" fontId="29" fillId="0" borderId="0" xfId="0" applyNumberFormat="1" applyFont="1"/>
    <xf numFmtId="0" fontId="24" fillId="3" borderId="17" xfId="0" applyFont="1" applyFill="1" applyBorder="1"/>
    <xf numFmtId="0" fontId="29" fillId="4" borderId="1" xfId="0" applyFont="1" applyFill="1" applyBorder="1"/>
    <xf numFmtId="0" fontId="24" fillId="0" borderId="35" xfId="0" applyFont="1" applyBorder="1"/>
    <xf numFmtId="37" fontId="24" fillId="4" borderId="37" xfId="0" applyNumberFormat="1" applyFont="1" applyFill="1" applyBorder="1"/>
    <xf numFmtId="0" fontId="30" fillId="4" borderId="24" xfId="0" applyFont="1" applyFill="1" applyBorder="1"/>
    <xf numFmtId="37" fontId="30" fillId="4" borderId="24" xfId="0" applyNumberFormat="1" applyFont="1" applyFill="1" applyBorder="1"/>
    <xf numFmtId="169" fontId="24" fillId="3" borderId="20" xfId="0" applyNumberFormat="1" applyFont="1" applyFill="1" applyBorder="1"/>
    <xf numFmtId="169" fontId="24" fillId="3" borderId="17" xfId="0" applyNumberFormat="1" applyFont="1" applyFill="1" applyBorder="1"/>
    <xf numFmtId="37" fontId="24" fillId="3" borderId="36" xfId="0" applyNumberFormat="1" applyFont="1" applyFill="1" applyBorder="1"/>
    <xf numFmtId="0" fontId="24" fillId="4" borderId="24" xfId="0" applyFont="1" applyFill="1" applyBorder="1"/>
    <xf numFmtId="37" fontId="24" fillId="4" borderId="24" xfId="0" applyNumberFormat="1" applyFont="1" applyFill="1" applyBorder="1"/>
    <xf numFmtId="37" fontId="24" fillId="4" borderId="38" xfId="0" applyNumberFormat="1" applyFont="1" applyFill="1" applyBorder="1"/>
    <xf numFmtId="37" fontId="24" fillId="4" borderId="1" xfId="0" applyNumberFormat="1" applyFont="1" applyFill="1" applyBorder="1"/>
    <xf numFmtId="169" fontId="24" fillId="4" borderId="1" xfId="0" applyNumberFormat="1" applyFont="1" applyFill="1" applyBorder="1"/>
    <xf numFmtId="169" fontId="24" fillId="4" borderId="38" xfId="0" applyNumberFormat="1" applyFont="1" applyFill="1" applyBorder="1"/>
    <xf numFmtId="169" fontId="24" fillId="4" borderId="24" xfId="0" applyNumberFormat="1" applyFont="1" applyFill="1" applyBorder="1"/>
    <xf numFmtId="37" fontId="24" fillId="4" borderId="42" xfId="0" applyNumberFormat="1" applyFont="1" applyFill="1" applyBorder="1"/>
    <xf numFmtId="39" fontId="24" fillId="0" borderId="0" xfId="0" applyNumberFormat="1" applyFont="1"/>
    <xf numFmtId="37" fontId="29" fillId="0" borderId="35" xfId="0" applyNumberFormat="1" applyFont="1" applyBorder="1"/>
    <xf numFmtId="0" fontId="29" fillId="0" borderId="35" xfId="0" applyFont="1" applyBorder="1"/>
    <xf numFmtId="0" fontId="29" fillId="0" borderId="40" xfId="0" applyFont="1" applyBorder="1"/>
    <xf numFmtId="0" fontId="31" fillId="0" borderId="0" xfId="0" applyFont="1"/>
    <xf numFmtId="37" fontId="31" fillId="0" borderId="0" xfId="0" applyNumberFormat="1" applyFont="1"/>
    <xf numFmtId="37" fontId="30" fillId="0" borderId="0" xfId="0" applyNumberFormat="1" applyFont="1"/>
    <xf numFmtId="37" fontId="32" fillId="0" borderId="0" xfId="0" applyNumberFormat="1" applyFont="1"/>
    <xf numFmtId="0" fontId="31" fillId="4" borderId="1" xfId="0" applyFont="1" applyFill="1" applyBorder="1"/>
    <xf numFmtId="37" fontId="29" fillId="4" borderId="1" xfId="0" applyNumberFormat="1" applyFont="1" applyFill="1" applyBorder="1"/>
    <xf numFmtId="0" fontId="33" fillId="4" borderId="1" xfId="0" applyFont="1" applyFill="1" applyBorder="1"/>
    <xf numFmtId="37" fontId="31" fillId="4" borderId="1" xfId="0" applyNumberFormat="1" applyFont="1" applyFill="1" applyBorder="1"/>
    <xf numFmtId="0" fontId="34" fillId="4" borderId="1" xfId="0" applyFont="1" applyFill="1" applyBorder="1" applyAlignment="1">
      <alignment horizontal="center" vertical="center"/>
    </xf>
    <xf numFmtId="0" fontId="29" fillId="4" borderId="1" xfId="0" applyFont="1" applyFill="1" applyBorder="1" applyAlignment="1">
      <alignment horizontal="center" vertical="center"/>
    </xf>
    <xf numFmtId="168" fontId="35" fillId="4" borderId="1" xfId="0" applyNumberFormat="1" applyFont="1" applyFill="1" applyBorder="1" applyAlignment="1">
      <alignment horizontal="right"/>
    </xf>
    <xf numFmtId="0" fontId="31" fillId="4" borderId="1" xfId="0" applyFont="1" applyFill="1" applyBorder="1" applyAlignment="1">
      <alignment horizontal="center"/>
    </xf>
    <xf numFmtId="0" fontId="29" fillId="4" borderId="1" xfId="0" applyFont="1" applyFill="1" applyBorder="1" applyAlignment="1">
      <alignment horizontal="center"/>
    </xf>
    <xf numFmtId="0" fontId="35" fillId="4" borderId="1" xfId="0" applyFont="1" applyFill="1" applyBorder="1" applyAlignment="1">
      <alignment horizontal="center"/>
    </xf>
    <xf numFmtId="0" fontId="35" fillId="4" borderId="1" xfId="0" applyFont="1" applyFill="1" applyBorder="1"/>
    <xf numFmtId="169" fontId="29" fillId="4" borderId="1" xfId="0" applyNumberFormat="1" applyFont="1" applyFill="1" applyBorder="1"/>
    <xf numFmtId="9" fontId="29" fillId="4" borderId="1" xfId="0" applyNumberFormat="1" applyFont="1" applyFill="1" applyBorder="1"/>
    <xf numFmtId="169" fontId="31" fillId="4" borderId="1" xfId="0" applyNumberFormat="1" applyFont="1" applyFill="1" applyBorder="1"/>
    <xf numFmtId="0" fontId="36" fillId="4" borderId="1" xfId="0" applyFont="1" applyFill="1" applyBorder="1"/>
    <xf numFmtId="0" fontId="34" fillId="4" borderId="1" xfId="0" applyFont="1" applyFill="1" applyBorder="1" applyAlignment="1">
      <alignment horizontal="center"/>
    </xf>
    <xf numFmtId="168" fontId="29" fillId="4" borderId="1" xfId="0" applyNumberFormat="1" applyFont="1" applyFill="1" applyBorder="1" applyAlignment="1">
      <alignment horizontal="center"/>
    </xf>
    <xf numFmtId="0" fontId="37" fillId="4" borderId="1" xfId="0" applyFont="1" applyFill="1" applyBorder="1" applyAlignment="1">
      <alignment horizontal="center"/>
    </xf>
    <xf numFmtId="0" fontId="35" fillId="4" borderId="1" xfId="0" applyFont="1" applyFill="1" applyBorder="1" applyAlignment="1">
      <alignment horizontal="left"/>
    </xf>
    <xf numFmtId="0" fontId="38" fillId="4" borderId="1" xfId="0" applyFont="1" applyFill="1" applyBorder="1"/>
    <xf numFmtId="0" fontId="39" fillId="0" borderId="0" xfId="0" applyFont="1" applyAlignment="1">
      <alignment horizontal="center" vertical="top"/>
    </xf>
    <xf numFmtId="0" fontId="40" fillId="6" borderId="43" xfId="0" applyFont="1" applyFill="1" applyBorder="1" applyAlignment="1">
      <alignment horizontal="center" vertical="center" wrapText="1"/>
    </xf>
    <xf numFmtId="49" fontId="11" fillId="5" borderId="1" xfId="0" applyNumberFormat="1" applyFont="1" applyFill="1" applyBorder="1" applyAlignment="1">
      <alignment horizontal="left" vertical="center"/>
    </xf>
    <xf numFmtId="172" fontId="11" fillId="5" borderId="1" xfId="0" applyNumberFormat="1" applyFont="1" applyFill="1" applyBorder="1" applyAlignment="1">
      <alignment horizontal="right" vertical="center"/>
    </xf>
    <xf numFmtId="0" fontId="11" fillId="5" borderId="1" xfId="0" applyFont="1" applyFill="1" applyBorder="1"/>
    <xf numFmtId="1" fontId="11" fillId="0" borderId="0" xfId="0" applyNumberFormat="1" applyFont="1" applyAlignment="1">
      <alignment horizontal="left" vertical="top"/>
    </xf>
    <xf numFmtId="49" fontId="11" fillId="0" borderId="0" xfId="0" applyNumberFormat="1" applyFont="1" applyAlignment="1">
      <alignment horizontal="left" vertical="top"/>
    </xf>
    <xf numFmtId="4" fontId="11" fillId="0" borderId="0" xfId="0" applyNumberFormat="1" applyFont="1" applyAlignment="1">
      <alignment horizontal="center" vertical="top"/>
    </xf>
    <xf numFmtId="0" fontId="11" fillId="7" borderId="1" xfId="0" applyFont="1" applyFill="1" applyBorder="1" applyAlignment="1">
      <alignment horizontal="center"/>
    </xf>
    <xf numFmtId="0" fontId="11" fillId="5" borderId="1" xfId="0" applyFont="1" applyFill="1" applyBorder="1" applyAlignment="1">
      <alignment horizontal="left" vertical="top"/>
    </xf>
    <xf numFmtId="49" fontId="11" fillId="5" borderId="1" xfId="0" applyNumberFormat="1" applyFont="1" applyFill="1" applyBorder="1" applyAlignment="1">
      <alignment horizontal="left" vertical="top"/>
    </xf>
    <xf numFmtId="173" fontId="11" fillId="5" borderId="1" xfId="0" applyNumberFormat="1" applyFont="1" applyFill="1" applyBorder="1" applyAlignment="1">
      <alignment horizontal="right" vertical="top"/>
    </xf>
    <xf numFmtId="0" fontId="19" fillId="0" borderId="0" xfId="0" applyFont="1" applyAlignment="1">
      <alignment horizontal="center"/>
    </xf>
    <xf numFmtId="0" fontId="0" fillId="0" borderId="0" xfId="0" applyFont="1" applyAlignment="1">
      <alignment horizontal="center"/>
    </xf>
    <xf numFmtId="0" fontId="10" fillId="9" borderId="1" xfId="0" applyFont="1" applyFill="1" applyBorder="1"/>
    <xf numFmtId="0" fontId="41" fillId="0" borderId="0" xfId="0" applyFont="1"/>
    <xf numFmtId="0" fontId="11" fillId="9" borderId="1" xfId="0" applyFont="1" applyFill="1" applyBorder="1"/>
    <xf numFmtId="0" fontId="11" fillId="0" borderId="0" xfId="0" applyFont="1"/>
    <xf numFmtId="39" fontId="42" fillId="10" borderId="47" xfId="0" applyNumberFormat="1" applyFont="1" applyFill="1" applyBorder="1" applyAlignment="1">
      <alignment horizontal="left" vertical="top"/>
    </xf>
    <xf numFmtId="0" fontId="43" fillId="10" borderId="47" xfId="0" applyFont="1" applyFill="1" applyBorder="1" applyAlignment="1">
      <alignment horizontal="left" vertical="top"/>
    </xf>
    <xf numFmtId="1" fontId="43" fillId="10" borderId="47" xfId="0" applyNumberFormat="1" applyFont="1" applyFill="1" applyBorder="1" applyAlignment="1">
      <alignment horizontal="left" vertical="top"/>
    </xf>
    <xf numFmtId="49" fontId="42" fillId="10" borderId="47" xfId="0" applyNumberFormat="1" applyFont="1" applyFill="1" applyBorder="1" applyAlignment="1">
      <alignment horizontal="left" vertical="top"/>
    </xf>
    <xf numFmtId="49" fontId="42" fillId="10" borderId="44" xfId="0" applyNumberFormat="1" applyFont="1" applyFill="1" applyBorder="1" applyAlignment="1">
      <alignment horizontal="left" vertical="top"/>
    </xf>
    <xf numFmtId="0" fontId="42" fillId="10" borderId="47" xfId="0" applyFont="1" applyFill="1" applyBorder="1" applyAlignment="1">
      <alignment horizontal="left" vertical="top"/>
    </xf>
    <xf numFmtId="0" fontId="42" fillId="8" borderId="47" xfId="0" applyFont="1" applyFill="1" applyBorder="1" applyAlignment="1">
      <alignment horizontal="left" vertical="top"/>
    </xf>
    <xf numFmtId="0" fontId="43" fillId="5" borderId="47" xfId="0" applyFont="1" applyFill="1" applyBorder="1" applyAlignment="1">
      <alignment horizontal="left" vertical="top"/>
    </xf>
    <xf numFmtId="0" fontId="42" fillId="5" borderId="47" xfId="0" applyFont="1" applyFill="1" applyBorder="1" applyAlignment="1">
      <alignment horizontal="left" vertical="top"/>
    </xf>
    <xf numFmtId="0" fontId="42" fillId="5" borderId="1" xfId="0" applyFont="1" applyFill="1" applyBorder="1" applyAlignment="1">
      <alignment horizontal="left" vertical="top"/>
    </xf>
    <xf numFmtId="0" fontId="43" fillId="10" borderId="1" xfId="0" applyFont="1" applyFill="1" applyBorder="1" applyAlignment="1">
      <alignment horizontal="left" vertical="top"/>
    </xf>
    <xf numFmtId="3" fontId="21" fillId="0" borderId="50" xfId="0" applyNumberFormat="1" applyFont="1" applyBorder="1"/>
    <xf numFmtId="0" fontId="21" fillId="0" borderId="1" xfId="0" applyFont="1" applyBorder="1"/>
    <xf numFmtId="3" fontId="21" fillId="0" borderId="1" xfId="0" applyNumberFormat="1" applyFont="1" applyBorder="1"/>
    <xf numFmtId="3" fontId="21" fillId="0" borderId="15" xfId="0" applyNumberFormat="1" applyFont="1" applyBorder="1"/>
    <xf numFmtId="3" fontId="21" fillId="0" borderId="51" xfId="0" applyNumberFormat="1" applyFont="1" applyBorder="1"/>
    <xf numFmtId="3" fontId="21" fillId="0" borderId="12" xfId="0" applyNumberFormat="1" applyFont="1" applyBorder="1"/>
    <xf numFmtId="3" fontId="21" fillId="0" borderId="52" xfId="0" applyNumberFormat="1" applyFont="1" applyBorder="1"/>
    <xf numFmtId="3" fontId="21" fillId="0" borderId="53" xfId="0" applyNumberFormat="1" applyFont="1" applyBorder="1"/>
    <xf numFmtId="2" fontId="21" fillId="0" borderId="1" xfId="0" applyNumberFormat="1" applyFont="1" applyBorder="1"/>
    <xf numFmtId="3" fontId="21" fillId="0" borderId="54" xfId="0" applyNumberFormat="1" applyFont="1" applyBorder="1"/>
    <xf numFmtId="0" fontId="0" fillId="0" borderId="0" xfId="0" applyFont="1" applyAlignment="1"/>
    <xf numFmtId="0" fontId="11" fillId="0" borderId="0" xfId="0" applyFont="1" applyAlignment="1">
      <alignment horizontal="center"/>
    </xf>
    <xf numFmtId="0" fontId="0" fillId="0" borderId="0" xfId="0" applyFont="1" applyAlignment="1"/>
    <xf numFmtId="37" fontId="21" fillId="0" borderId="53" xfId="0" applyNumberFormat="1" applyFont="1" applyBorder="1"/>
    <xf numFmtId="170" fontId="21" fillId="0" borderId="53" xfId="0" applyNumberFormat="1" applyFont="1" applyBorder="1"/>
    <xf numFmtId="169" fontId="21" fillId="0" borderId="50" xfId="0" applyNumberFormat="1" applyFont="1" applyBorder="1"/>
    <xf numFmtId="0" fontId="21" fillId="0" borderId="53" xfId="0" applyFont="1" applyBorder="1" applyAlignment="1">
      <alignment horizontal="center"/>
    </xf>
    <xf numFmtId="0" fontId="21" fillId="0" borderId="50" xfId="0" applyFont="1" applyBorder="1" applyAlignment="1">
      <alignment horizontal="center"/>
    </xf>
    <xf numFmtId="169" fontId="21" fillId="0" borderId="53" xfId="0" applyNumberFormat="1" applyFont="1" applyBorder="1"/>
    <xf numFmtId="37" fontId="21" fillId="0" borderId="50" xfId="0" applyNumberFormat="1" applyFont="1" applyBorder="1"/>
    <xf numFmtId="37" fontId="21" fillId="0" borderId="1" xfId="0" applyNumberFormat="1" applyFont="1" applyBorder="1"/>
    <xf numFmtId="37" fontId="22" fillId="0" borderId="24" xfId="0" applyNumberFormat="1" applyFont="1" applyBorder="1"/>
    <xf numFmtId="37" fontId="21" fillId="0" borderId="55" xfId="0" applyNumberFormat="1" applyFont="1" applyBorder="1"/>
    <xf numFmtId="37" fontId="22" fillId="0" borderId="56" xfId="0" applyNumberFormat="1" applyFont="1" applyBorder="1"/>
    <xf numFmtId="37" fontId="21" fillId="0" borderId="56" xfId="0" applyNumberFormat="1" applyFont="1" applyBorder="1"/>
    <xf numFmtId="37" fontId="21" fillId="0" borderId="58" xfId="0" applyNumberFormat="1" applyFont="1" applyBorder="1"/>
    <xf numFmtId="37" fontId="21" fillId="11" borderId="1" xfId="0" applyNumberFormat="1" applyFont="1" applyFill="1" applyBorder="1"/>
    <xf numFmtId="169" fontId="22" fillId="3" borderId="1" xfId="0" applyNumberFormat="1" applyFont="1" applyFill="1" applyBorder="1"/>
    <xf numFmtId="0" fontId="21" fillId="0" borderId="60" xfId="0" applyFont="1" applyBorder="1" applyAlignment="1">
      <alignment horizontal="center"/>
    </xf>
    <xf numFmtId="0" fontId="21" fillId="0" borderId="59" xfId="0" applyFont="1" applyBorder="1" applyAlignment="1">
      <alignment horizontal="center"/>
    </xf>
    <xf numFmtId="0" fontId="21" fillId="0" borderId="61" xfId="0" applyFont="1" applyBorder="1" applyAlignment="1">
      <alignment horizontal="center"/>
    </xf>
    <xf numFmtId="37" fontId="21" fillId="11" borderId="62" xfId="0" applyNumberFormat="1" applyFont="1" applyFill="1" applyBorder="1"/>
    <xf numFmtId="37" fontId="21" fillId="0" borderId="61" xfId="0" applyNumberFormat="1" applyFont="1" applyBorder="1"/>
    <xf numFmtId="169" fontId="21" fillId="0" borderId="1" xfId="0" applyNumberFormat="1" applyFont="1" applyBorder="1"/>
    <xf numFmtId="37" fontId="21" fillId="0" borderId="52" xfId="0" applyNumberFormat="1" applyFont="1" applyBorder="1"/>
    <xf numFmtId="0" fontId="21" fillId="0" borderId="52" xfId="0" applyFont="1" applyBorder="1" applyAlignment="1">
      <alignment horizontal="center"/>
    </xf>
    <xf numFmtId="169" fontId="24" fillId="0" borderId="56" xfId="0" applyNumberFormat="1" applyFont="1" applyBorder="1"/>
    <xf numFmtId="169" fontId="24" fillId="0" borderId="55" xfId="0" applyNumberFormat="1" applyFont="1" applyBorder="1"/>
    <xf numFmtId="169" fontId="24" fillId="0" borderId="63" xfId="0" applyNumberFormat="1" applyFont="1" applyBorder="1"/>
    <xf numFmtId="169" fontId="50" fillId="0" borderId="55" xfId="0" applyNumberFormat="1" applyFont="1" applyBorder="1"/>
    <xf numFmtId="37" fontId="30" fillId="3" borderId="64" xfId="0" applyNumberFormat="1" applyFont="1" applyFill="1" applyBorder="1"/>
    <xf numFmtId="37" fontId="30" fillId="3" borderId="65" xfId="0" applyNumberFormat="1" applyFont="1" applyFill="1" applyBorder="1"/>
    <xf numFmtId="0" fontId="29" fillId="0" borderId="1" xfId="0" applyFont="1" applyBorder="1"/>
    <xf numFmtId="3" fontId="21" fillId="11" borderId="67" xfId="0" applyNumberFormat="1" applyFont="1" applyFill="1" applyBorder="1"/>
    <xf numFmtId="3" fontId="21" fillId="11" borderId="68" xfId="0" applyNumberFormat="1" applyFont="1" applyFill="1" applyBorder="1"/>
    <xf numFmtId="0" fontId="21" fillId="0" borderId="0" xfId="0" applyFont="1" applyFill="1"/>
    <xf numFmtId="37" fontId="22" fillId="0" borderId="24" xfId="0" applyNumberFormat="1" applyFont="1" applyFill="1" applyBorder="1"/>
    <xf numFmtId="170" fontId="22" fillId="0" borderId="24" xfId="0" applyNumberFormat="1" applyFont="1" applyFill="1" applyBorder="1"/>
    <xf numFmtId="37" fontId="22" fillId="0" borderId="25" xfId="0" applyNumberFormat="1" applyFont="1" applyFill="1" applyBorder="1"/>
    <xf numFmtId="37" fontId="22" fillId="0" borderId="23" xfId="0" applyNumberFormat="1" applyFont="1" applyFill="1" applyBorder="1"/>
    <xf numFmtId="0" fontId="21" fillId="0" borderId="12" xfId="0" applyFont="1" applyFill="1" applyBorder="1"/>
    <xf numFmtId="37" fontId="21" fillId="0" borderId="1" xfId="0" applyNumberFormat="1" applyFont="1" applyFill="1" applyBorder="1"/>
    <xf numFmtId="37" fontId="21" fillId="0" borderId="0" xfId="0" applyNumberFormat="1" applyFont="1" applyFill="1"/>
    <xf numFmtId="37" fontId="21" fillId="0" borderId="12" xfId="0" applyNumberFormat="1" applyFont="1" applyFill="1" applyBorder="1"/>
    <xf numFmtId="3" fontId="21" fillId="0" borderId="1" xfId="0" applyNumberFormat="1" applyFont="1" applyFill="1" applyBorder="1"/>
    <xf numFmtId="37" fontId="21" fillId="0" borderId="15" xfId="0" applyNumberFormat="1" applyFont="1" applyFill="1" applyBorder="1"/>
    <xf numFmtId="0" fontId="21" fillId="0" borderId="1" xfId="0" applyFont="1" applyFill="1" applyBorder="1"/>
    <xf numFmtId="170" fontId="21" fillId="0" borderId="1" xfId="0" applyNumberFormat="1" applyFont="1" applyFill="1" applyBorder="1"/>
    <xf numFmtId="169" fontId="21" fillId="0" borderId="15" xfId="0" applyNumberFormat="1" applyFont="1" applyFill="1" applyBorder="1"/>
    <xf numFmtId="37" fontId="22" fillId="0" borderId="12" xfId="0" applyNumberFormat="1" applyFont="1" applyFill="1" applyBorder="1"/>
    <xf numFmtId="170" fontId="22" fillId="0" borderId="1" xfId="0" applyNumberFormat="1" applyFont="1" applyFill="1" applyBorder="1"/>
    <xf numFmtId="37" fontId="22" fillId="0" borderId="15" xfId="0" applyNumberFormat="1" applyFont="1" applyFill="1" applyBorder="1"/>
    <xf numFmtId="37" fontId="22" fillId="0" borderId="1" xfId="0" applyNumberFormat="1" applyFont="1" applyFill="1" applyBorder="1"/>
    <xf numFmtId="0" fontId="22" fillId="0" borderId="12" xfId="0" applyFont="1" applyFill="1" applyBorder="1"/>
    <xf numFmtId="0" fontId="22" fillId="0" borderId="1" xfId="0" applyFont="1" applyFill="1" applyBorder="1"/>
    <xf numFmtId="169" fontId="22" fillId="0" borderId="15" xfId="0" applyNumberFormat="1" applyFont="1" applyFill="1" applyBorder="1"/>
    <xf numFmtId="169" fontId="22" fillId="0" borderId="12" xfId="0" applyNumberFormat="1" applyFont="1" applyFill="1" applyBorder="1"/>
    <xf numFmtId="3" fontId="21" fillId="0" borderId="50" xfId="0" applyNumberFormat="1" applyFont="1" applyFill="1" applyBorder="1"/>
    <xf numFmtId="3" fontId="21" fillId="0" borderId="51" xfId="0" applyNumberFormat="1" applyFont="1" applyFill="1" applyBorder="1"/>
    <xf numFmtId="37" fontId="47" fillId="0" borderId="1" xfId="0" applyNumberFormat="1" applyFont="1" applyFill="1" applyBorder="1"/>
    <xf numFmtId="0" fontId="30" fillId="0" borderId="1" xfId="0" applyFont="1" applyFill="1" applyBorder="1"/>
    <xf numFmtId="37" fontId="24" fillId="0" borderId="37" xfId="0" applyNumberFormat="1" applyFont="1" applyFill="1" applyBorder="1"/>
    <xf numFmtId="169" fontId="30" fillId="0" borderId="24" xfId="0" applyNumberFormat="1" applyFont="1" applyFill="1" applyBorder="1"/>
    <xf numFmtId="0" fontId="30" fillId="0" borderId="24" xfId="0" applyFont="1" applyFill="1" applyBorder="1"/>
    <xf numFmtId="37" fontId="30" fillId="0" borderId="38" xfId="0" applyNumberFormat="1" applyFont="1" applyFill="1" applyBorder="1"/>
    <xf numFmtId="169" fontId="30" fillId="0" borderId="38" xfId="0" applyNumberFormat="1" applyFont="1" applyFill="1" applyBorder="1"/>
    <xf numFmtId="37" fontId="30" fillId="0" borderId="24" xfId="0" applyNumberFormat="1" applyFont="1" applyFill="1" applyBorder="1"/>
    <xf numFmtId="37" fontId="24" fillId="0" borderId="35" xfId="0" applyNumberFormat="1" applyFont="1" applyFill="1" applyBorder="1"/>
    <xf numFmtId="169" fontId="30" fillId="0" borderId="1" xfId="0" applyNumberFormat="1" applyFont="1" applyFill="1" applyBorder="1"/>
    <xf numFmtId="37" fontId="30" fillId="0" borderId="39" xfId="0" applyNumberFormat="1" applyFont="1" applyFill="1" applyBorder="1"/>
    <xf numFmtId="169" fontId="24" fillId="0" borderId="35" xfId="0" applyNumberFormat="1" applyFont="1" applyFill="1" applyBorder="1"/>
    <xf numFmtId="169" fontId="30" fillId="0" borderId="39" xfId="0" applyNumberFormat="1" applyFont="1" applyFill="1" applyBorder="1"/>
    <xf numFmtId="37" fontId="24" fillId="0" borderId="40" xfId="0" applyNumberFormat="1" applyFont="1" applyFill="1" applyBorder="1"/>
    <xf numFmtId="37" fontId="30" fillId="0" borderId="1" xfId="0" applyNumberFormat="1" applyFont="1" applyFill="1" applyBorder="1"/>
    <xf numFmtId="169" fontId="24" fillId="0" borderId="55" xfId="0" applyNumberFormat="1" applyFont="1" applyFill="1" applyBorder="1"/>
    <xf numFmtId="0" fontId="21" fillId="0" borderId="1" xfId="0" applyFont="1" applyFill="1" applyBorder="1" applyAlignment="1">
      <alignment horizontal="right"/>
    </xf>
    <xf numFmtId="0" fontId="21" fillId="0" borderId="68" xfId="0" applyFont="1" applyBorder="1"/>
    <xf numFmtId="0" fontId="21" fillId="0" borderId="70" xfId="0" applyFont="1" applyBorder="1"/>
    <xf numFmtId="0" fontId="21" fillId="0" borderId="12" xfId="0" applyFont="1" applyBorder="1" applyAlignment="1">
      <alignment horizontal="center"/>
    </xf>
    <xf numFmtId="0" fontId="21" fillId="0" borderId="1" xfId="0" applyFont="1" applyBorder="1" applyAlignment="1">
      <alignment horizontal="center"/>
    </xf>
    <xf numFmtId="0" fontId="21" fillId="0" borderId="15" xfId="0" applyFont="1" applyBorder="1" applyAlignment="1">
      <alignment horizontal="center"/>
    </xf>
    <xf numFmtId="0" fontId="21" fillId="0" borderId="55" xfId="0" applyFont="1" applyBorder="1" applyAlignment="1">
      <alignment horizontal="center"/>
    </xf>
    <xf numFmtId="0" fontId="22" fillId="3" borderId="71" xfId="0" applyFont="1" applyFill="1" applyBorder="1"/>
    <xf numFmtId="37" fontId="22" fillId="3" borderId="72" xfId="0" applyNumberFormat="1" applyFont="1" applyFill="1" applyBorder="1"/>
    <xf numFmtId="0" fontId="22" fillId="3" borderId="73" xfId="0" applyFont="1" applyFill="1" applyBorder="1"/>
    <xf numFmtId="169" fontId="22" fillId="3" borderId="74" xfId="0" applyNumberFormat="1" applyFont="1" applyFill="1" applyBorder="1"/>
    <xf numFmtId="0" fontId="22" fillId="0" borderId="70" xfId="0" applyFont="1" applyFill="1" applyBorder="1"/>
    <xf numFmtId="169" fontId="21" fillId="0" borderId="15" xfId="1" applyNumberFormat="1" applyFont="1" applyFill="1" applyBorder="1"/>
    <xf numFmtId="169" fontId="22" fillId="0" borderId="55" xfId="0" applyNumberFormat="1" applyFont="1" applyFill="1" applyBorder="1"/>
    <xf numFmtId="0" fontId="22" fillId="0" borderId="70" xfId="0" applyFont="1" applyFill="1" applyBorder="1" applyAlignment="1">
      <alignment horizontal="left"/>
    </xf>
    <xf numFmtId="0" fontId="46" fillId="0" borderId="1" xfId="0" applyFont="1" applyFill="1" applyBorder="1"/>
    <xf numFmtId="0" fontId="21" fillId="0" borderId="15" xfId="0" applyFont="1" applyFill="1" applyBorder="1"/>
    <xf numFmtId="0" fontId="21" fillId="0" borderId="55" xfId="0" applyFont="1" applyFill="1" applyBorder="1"/>
    <xf numFmtId="0" fontId="24" fillId="0" borderId="70" xfId="0" applyFont="1" applyFill="1" applyBorder="1"/>
    <xf numFmtId="3" fontId="21" fillId="0" borderId="15" xfId="0" applyNumberFormat="1" applyFont="1" applyFill="1" applyBorder="1"/>
    <xf numFmtId="0" fontId="24" fillId="0" borderId="75" xfId="0" applyFont="1" applyFill="1" applyBorder="1"/>
    <xf numFmtId="0" fontId="21" fillId="0" borderId="12" xfId="0" applyFont="1" applyFill="1" applyBorder="1" applyAlignment="1">
      <alignment horizontal="right"/>
    </xf>
    <xf numFmtId="37" fontId="21" fillId="0" borderId="55" xfId="0" applyNumberFormat="1" applyFont="1" applyFill="1" applyBorder="1"/>
    <xf numFmtId="0" fontId="21" fillId="0" borderId="24" xfId="0" applyFont="1" applyFill="1" applyBorder="1" applyAlignment="1">
      <alignment horizontal="right"/>
    </xf>
    <xf numFmtId="0" fontId="21" fillId="0" borderId="24" xfId="0" applyFont="1" applyFill="1" applyBorder="1"/>
    <xf numFmtId="0" fontId="21" fillId="0" borderId="23" xfId="0" applyFont="1" applyFill="1" applyBorder="1" applyAlignment="1">
      <alignment horizontal="right"/>
    </xf>
    <xf numFmtId="0" fontId="21" fillId="0" borderId="23" xfId="0" applyFont="1" applyFill="1" applyBorder="1"/>
    <xf numFmtId="37" fontId="21" fillId="0" borderId="25" xfId="0" applyNumberFormat="1" applyFont="1" applyFill="1" applyBorder="1"/>
    <xf numFmtId="37" fontId="21" fillId="0" borderId="56" xfId="0" applyNumberFormat="1" applyFont="1" applyFill="1" applyBorder="1"/>
    <xf numFmtId="0" fontId="21" fillId="0" borderId="70" xfId="0" applyFont="1" applyFill="1" applyBorder="1"/>
    <xf numFmtId="0" fontId="21" fillId="0" borderId="22" xfId="0" applyFont="1" applyFill="1" applyBorder="1" applyAlignment="1">
      <alignment horizontal="right"/>
    </xf>
    <xf numFmtId="0" fontId="21" fillId="0" borderId="22" xfId="0" applyFont="1" applyFill="1" applyBorder="1"/>
    <xf numFmtId="0" fontId="21" fillId="0" borderId="13" xfId="0" applyFont="1" applyFill="1" applyBorder="1" applyAlignment="1">
      <alignment horizontal="right"/>
    </xf>
    <xf numFmtId="0" fontId="21" fillId="0" borderId="13" xfId="0" applyFont="1" applyFill="1" applyBorder="1"/>
    <xf numFmtId="37" fontId="21" fillId="0" borderId="19" xfId="0" applyNumberFormat="1" applyFont="1" applyFill="1" applyBorder="1"/>
    <xf numFmtId="37" fontId="21" fillId="0" borderId="58" xfId="0" applyNumberFormat="1" applyFont="1" applyFill="1" applyBorder="1"/>
    <xf numFmtId="0" fontId="22" fillId="3" borderId="76" xfId="0" applyFont="1" applyFill="1" applyBorder="1"/>
    <xf numFmtId="37" fontId="22" fillId="3" borderId="58" xfId="0" applyNumberFormat="1" applyFont="1" applyFill="1" applyBorder="1"/>
    <xf numFmtId="0" fontId="24" fillId="0" borderId="77" xfId="0" applyFont="1" applyBorder="1"/>
    <xf numFmtId="0" fontId="21" fillId="0" borderId="1" xfId="0" applyFont="1" applyBorder="1" applyAlignment="1">
      <alignment horizontal="right"/>
    </xf>
    <xf numFmtId="0" fontId="21" fillId="0" borderId="12" xfId="0" applyFont="1" applyBorder="1" applyAlignment="1">
      <alignment horizontal="right"/>
    </xf>
    <xf numFmtId="0" fontId="21" fillId="0" borderId="12" xfId="0" applyFont="1" applyBorder="1"/>
    <xf numFmtId="37" fontId="21" fillId="0" borderId="15" xfId="0" applyNumberFormat="1" applyFont="1" applyBorder="1"/>
    <xf numFmtId="0" fontId="24" fillId="0" borderId="70" xfId="0" applyFont="1" applyBorder="1"/>
    <xf numFmtId="0" fontId="24" fillId="0" borderId="75" xfId="0" applyFont="1" applyBorder="1"/>
    <xf numFmtId="0" fontId="21" fillId="0" borderId="22" xfId="0" applyFont="1" applyBorder="1" applyAlignment="1">
      <alignment horizontal="right"/>
    </xf>
    <xf numFmtId="0" fontId="21" fillId="0" borderId="22" xfId="0" applyFont="1" applyBorder="1"/>
    <xf numFmtId="0" fontId="21" fillId="0" borderId="13" xfId="0" applyFont="1" applyBorder="1" applyAlignment="1">
      <alignment horizontal="right"/>
    </xf>
    <xf numFmtId="0" fontId="21" fillId="0" borderId="13" xfId="0" applyFont="1" applyBorder="1"/>
    <xf numFmtId="37" fontId="21" fillId="0" borderId="19" xfId="0" applyNumberFormat="1" applyFont="1" applyBorder="1"/>
    <xf numFmtId="0" fontId="21" fillId="0" borderId="15" xfId="0" applyFont="1" applyBorder="1"/>
    <xf numFmtId="0" fontId="22" fillId="0" borderId="12" xfId="0" applyFont="1" applyBorder="1"/>
    <xf numFmtId="0" fontId="22" fillId="0" borderId="15" xfId="0" applyFont="1" applyBorder="1"/>
    <xf numFmtId="0" fontId="22" fillId="0" borderId="55" xfId="0" applyFont="1" applyBorder="1"/>
    <xf numFmtId="37" fontId="22" fillId="3" borderId="57" xfId="0" applyNumberFormat="1" applyFont="1" applyFill="1" applyBorder="1"/>
    <xf numFmtId="0" fontId="22" fillId="3" borderId="78" xfId="0" applyFont="1" applyFill="1" applyBorder="1"/>
    <xf numFmtId="0" fontId="22" fillId="3" borderId="64" xfId="0" applyFont="1" applyFill="1" applyBorder="1"/>
    <xf numFmtId="37" fontId="22" fillId="3" borderId="79" xfId="0" applyNumberFormat="1" applyFont="1" applyFill="1" applyBorder="1"/>
    <xf numFmtId="0" fontId="22" fillId="3" borderId="80" xfId="0" applyFont="1" applyFill="1" applyBorder="1"/>
    <xf numFmtId="0" fontId="21" fillId="3" borderId="80" xfId="0" applyFont="1" applyFill="1" applyBorder="1"/>
    <xf numFmtId="0" fontId="21" fillId="3" borderId="64" xfId="0" applyFont="1" applyFill="1" applyBorder="1"/>
    <xf numFmtId="37" fontId="22" fillId="3" borderId="81" xfId="0" applyNumberFormat="1" applyFont="1" applyFill="1" applyBorder="1"/>
    <xf numFmtId="169" fontId="21" fillId="0" borderId="12" xfId="0" applyNumberFormat="1" applyFont="1" applyBorder="1"/>
    <xf numFmtId="37" fontId="21" fillId="0" borderId="12" xfId="0" applyNumberFormat="1" applyFont="1" applyBorder="1"/>
    <xf numFmtId="0" fontId="21" fillId="0" borderId="75" xfId="0" applyFont="1" applyBorder="1"/>
    <xf numFmtId="0" fontId="22" fillId="0" borderId="70" xfId="0" applyFont="1" applyBorder="1"/>
    <xf numFmtId="169" fontId="22" fillId="0" borderId="24" xfId="0" applyNumberFormat="1" applyFont="1" applyBorder="1"/>
    <xf numFmtId="37" fontId="22" fillId="0" borderId="25" xfId="0" applyNumberFormat="1" applyFont="1" applyBorder="1"/>
    <xf numFmtId="169" fontId="22" fillId="0" borderId="23" xfId="0" applyNumberFormat="1" applyFont="1" applyBorder="1"/>
    <xf numFmtId="37" fontId="22" fillId="0" borderId="23" xfId="0" applyNumberFormat="1" applyFont="1" applyBorder="1"/>
    <xf numFmtId="169" fontId="22" fillId="0" borderId="15" xfId="0" applyNumberFormat="1" applyFont="1" applyBorder="1"/>
    <xf numFmtId="169" fontId="22" fillId="0" borderId="55" xfId="0" applyNumberFormat="1" applyFont="1" applyBorder="1"/>
    <xf numFmtId="0" fontId="21" fillId="0" borderId="19" xfId="0" applyFont="1" applyBorder="1"/>
    <xf numFmtId="0" fontId="46" fillId="0" borderId="22" xfId="0" applyFont="1" applyBorder="1"/>
    <xf numFmtId="169" fontId="22" fillId="0" borderId="19" xfId="0" applyNumberFormat="1" applyFont="1" applyBorder="1"/>
    <xf numFmtId="169" fontId="22" fillId="0" borderId="58" xfId="0" applyNumberFormat="1" applyFont="1" applyBorder="1"/>
    <xf numFmtId="169" fontId="21" fillId="0" borderId="22" xfId="0" applyNumberFormat="1" applyFont="1" applyBorder="1"/>
    <xf numFmtId="37" fontId="21" fillId="0" borderId="13" xfId="0" applyNumberFormat="1" applyFont="1" applyBorder="1"/>
    <xf numFmtId="0" fontId="22" fillId="3" borderId="82" xfId="0" applyFont="1" applyFill="1" applyBorder="1"/>
    <xf numFmtId="0" fontId="21" fillId="3" borderId="60" xfId="0" applyFont="1" applyFill="1" applyBorder="1" applyAlignment="1">
      <alignment horizontal="right"/>
    </xf>
    <xf numFmtId="0" fontId="21" fillId="3" borderId="60" xfId="0" applyFont="1" applyFill="1" applyBorder="1"/>
    <xf numFmtId="37" fontId="22" fillId="3" borderId="59" xfId="0" applyNumberFormat="1" applyFont="1" applyFill="1" applyBorder="1"/>
    <xf numFmtId="0" fontId="21" fillId="3" borderId="61" xfId="0" applyFont="1" applyFill="1" applyBorder="1" applyAlignment="1">
      <alignment horizontal="right"/>
    </xf>
    <xf numFmtId="0" fontId="22" fillId="3" borderId="61" xfId="0" applyFont="1" applyFill="1" applyBorder="1"/>
    <xf numFmtId="0" fontId="22" fillId="3" borderId="60" xfId="0" applyFont="1" applyFill="1" applyBorder="1"/>
    <xf numFmtId="37" fontId="22" fillId="3" borderId="83" xfId="0" applyNumberFormat="1" applyFont="1" applyFill="1" applyBorder="1"/>
    <xf numFmtId="1" fontId="21" fillId="0" borderId="12" xfId="0" applyNumberFormat="1" applyFont="1" applyBorder="1"/>
    <xf numFmtId="170" fontId="21" fillId="0" borderId="1" xfId="0" applyNumberFormat="1" applyFont="1" applyBorder="1"/>
    <xf numFmtId="169" fontId="21" fillId="0" borderId="15" xfId="0" applyNumberFormat="1" applyFont="1" applyBorder="1"/>
    <xf numFmtId="0" fontId="21" fillId="0" borderId="77" xfId="0" applyFont="1" applyBorder="1"/>
    <xf numFmtId="0" fontId="21" fillId="0" borderId="24" xfId="0" applyFont="1" applyBorder="1"/>
    <xf numFmtId="1" fontId="21" fillId="0" borderId="23" xfId="0" applyNumberFormat="1" applyFont="1" applyBorder="1"/>
    <xf numFmtId="37" fontId="21" fillId="0" borderId="23" xfId="0" applyNumberFormat="1" applyFont="1" applyBorder="1"/>
    <xf numFmtId="169" fontId="21" fillId="0" borderId="23" xfId="0" applyNumberFormat="1" applyFont="1" applyBorder="1"/>
    <xf numFmtId="37" fontId="21" fillId="0" borderId="25" xfId="0" applyNumberFormat="1" applyFont="1" applyBorder="1"/>
    <xf numFmtId="37" fontId="21" fillId="0" borderId="24" xfId="0" applyNumberFormat="1" applyFont="1" applyBorder="1"/>
    <xf numFmtId="170" fontId="21" fillId="0" borderId="22" xfId="0" applyNumberFormat="1" applyFont="1" applyBorder="1"/>
    <xf numFmtId="169" fontId="21" fillId="0" borderId="19" xfId="0" applyNumberFormat="1" applyFont="1" applyBorder="1"/>
    <xf numFmtId="2" fontId="21" fillId="0" borderId="22" xfId="0" applyNumberFormat="1" applyFont="1" applyBorder="1"/>
    <xf numFmtId="169" fontId="21" fillId="0" borderId="13" xfId="0" applyNumberFormat="1" applyFont="1" applyBorder="1"/>
    <xf numFmtId="169" fontId="22" fillId="0" borderId="12" xfId="0" applyNumberFormat="1" applyFont="1" applyBorder="1"/>
    <xf numFmtId="37" fontId="22" fillId="3" borderId="84" xfId="0" applyNumberFormat="1" applyFont="1" applyFill="1" applyBorder="1"/>
    <xf numFmtId="0" fontId="22" fillId="3" borderId="85" xfId="0" applyFont="1" applyFill="1" applyBorder="1"/>
    <xf numFmtId="0" fontId="22" fillId="3" borderId="31" xfId="0" applyFont="1" applyFill="1" applyBorder="1"/>
    <xf numFmtId="169" fontId="22" fillId="0" borderId="13" xfId="0" applyNumberFormat="1" applyFont="1" applyBorder="1"/>
    <xf numFmtId="171" fontId="21" fillId="0" borderId="1" xfId="0" applyNumberFormat="1" applyFont="1" applyBorder="1"/>
    <xf numFmtId="0" fontId="21" fillId="0" borderId="23" xfId="0" applyFont="1" applyBorder="1"/>
    <xf numFmtId="0" fontId="22" fillId="0" borderId="1" xfId="0" applyFont="1" applyBorder="1"/>
    <xf numFmtId="170" fontId="22" fillId="0" borderId="1" xfId="0" applyNumberFormat="1" applyFont="1" applyBorder="1"/>
    <xf numFmtId="37" fontId="22" fillId="0" borderId="12" xfId="0" applyNumberFormat="1" applyFont="1" applyBorder="1"/>
    <xf numFmtId="37" fontId="22" fillId="0" borderId="15" xfId="0" applyNumberFormat="1" applyFont="1" applyBorder="1"/>
    <xf numFmtId="37" fontId="22" fillId="0" borderId="55" xfId="0" applyNumberFormat="1" applyFont="1" applyBorder="1"/>
    <xf numFmtId="0" fontId="22" fillId="0" borderId="22" xfId="0" applyFont="1" applyBorder="1"/>
    <xf numFmtId="170" fontId="22" fillId="0" borderId="22" xfId="0" applyNumberFormat="1" applyFont="1" applyBorder="1"/>
    <xf numFmtId="0" fontId="22" fillId="0" borderId="13" xfId="0" applyFont="1" applyBorder="1"/>
    <xf numFmtId="37" fontId="22" fillId="0" borderId="13" xfId="0" applyNumberFormat="1" applyFont="1" applyBorder="1"/>
    <xf numFmtId="37" fontId="22" fillId="0" borderId="19" xfId="0" applyNumberFormat="1" applyFont="1" applyBorder="1"/>
    <xf numFmtId="37" fontId="22" fillId="0" borderId="58" xfId="0" applyNumberFormat="1" applyFont="1" applyBorder="1"/>
    <xf numFmtId="0" fontId="22" fillId="4" borderId="71" xfId="0" applyFont="1" applyFill="1" applyBorder="1"/>
    <xf numFmtId="169" fontId="48" fillId="0" borderId="12" xfId="0" applyNumberFormat="1" applyFont="1" applyBorder="1"/>
    <xf numFmtId="37" fontId="22" fillId="4" borderId="84" xfId="0" applyNumberFormat="1" applyFont="1" applyFill="1" applyBorder="1"/>
    <xf numFmtId="0" fontId="22" fillId="4" borderId="75" xfId="0" applyFont="1" applyFill="1" applyBorder="1"/>
    <xf numFmtId="0" fontId="22" fillId="0" borderId="77" xfId="0" applyFont="1" applyFill="1" applyBorder="1"/>
    <xf numFmtId="37" fontId="22" fillId="0" borderId="56" xfId="0" applyNumberFormat="1" applyFont="1" applyFill="1" applyBorder="1"/>
    <xf numFmtId="169" fontId="21" fillId="0" borderId="12" xfId="0" applyNumberFormat="1" applyFont="1" applyFill="1" applyBorder="1"/>
    <xf numFmtId="37" fontId="22" fillId="0" borderId="55" xfId="0" applyNumberFormat="1" applyFont="1" applyFill="1" applyBorder="1"/>
    <xf numFmtId="0" fontId="22" fillId="4" borderId="77" xfId="0" applyFont="1" applyFill="1" applyBorder="1"/>
    <xf numFmtId="37" fontId="22" fillId="4" borderId="56" xfId="0" applyNumberFormat="1" applyFont="1" applyFill="1" applyBorder="1"/>
    <xf numFmtId="0" fontId="22" fillId="0" borderId="70" xfId="0" applyFont="1" applyBorder="1" applyAlignment="1">
      <alignment horizontal="left"/>
    </xf>
    <xf numFmtId="0" fontId="21" fillId="0" borderId="55" xfId="0" applyFont="1" applyBorder="1"/>
    <xf numFmtId="0" fontId="21" fillId="0" borderId="24" xfId="0" applyFont="1" applyBorder="1" applyAlignment="1">
      <alignment horizontal="right"/>
    </xf>
    <xf numFmtId="0" fontId="21" fillId="0" borderId="23" xfId="0" applyFont="1" applyBorder="1" applyAlignment="1">
      <alignment horizontal="right"/>
    </xf>
    <xf numFmtId="0" fontId="21" fillId="0" borderId="24" xfId="0" applyFont="1" applyBorder="1" applyAlignment="1">
      <alignment horizontal="center"/>
    </xf>
    <xf numFmtId="0" fontId="21" fillId="0" borderId="13" xfId="0" applyFont="1" applyBorder="1" applyAlignment="1">
      <alignment horizontal="center"/>
    </xf>
    <xf numFmtId="0" fontId="21" fillId="0" borderId="19" xfId="0" applyFont="1" applyBorder="1" applyAlignment="1">
      <alignment horizontal="center"/>
    </xf>
    <xf numFmtId="0" fontId="21" fillId="0" borderId="22" xfId="0" applyFont="1" applyBorder="1" applyAlignment="1">
      <alignment horizontal="center"/>
    </xf>
    <xf numFmtId="0" fontId="21" fillId="0" borderId="58" xfId="0" applyFont="1" applyBorder="1" applyAlignment="1">
      <alignment horizontal="center"/>
    </xf>
    <xf numFmtId="3" fontId="21" fillId="0" borderId="55" xfId="0" applyNumberFormat="1" applyFont="1" applyBorder="1"/>
    <xf numFmtId="0" fontId="22" fillId="0" borderId="77" xfId="0" applyFont="1" applyBorder="1"/>
    <xf numFmtId="3" fontId="22" fillId="0" borderId="24" xfId="0" applyNumberFormat="1" applyFont="1" applyBorder="1"/>
    <xf numFmtId="3" fontId="22" fillId="0" borderId="25" xfId="0" applyNumberFormat="1" applyFont="1" applyBorder="1"/>
    <xf numFmtId="3" fontId="22" fillId="0" borderId="23" xfId="0" applyNumberFormat="1" applyFont="1" applyBorder="1"/>
    <xf numFmtId="3" fontId="22" fillId="0" borderId="56" xfId="0" applyNumberFormat="1" applyFont="1" applyBorder="1"/>
    <xf numFmtId="3" fontId="21" fillId="0" borderId="19" xfId="0" applyNumberFormat="1" applyFont="1" applyBorder="1"/>
    <xf numFmtId="3" fontId="21" fillId="0" borderId="13" xfId="0" applyNumberFormat="1" applyFont="1" applyBorder="1"/>
    <xf numFmtId="3" fontId="21" fillId="0" borderId="22" xfId="0" applyNumberFormat="1" applyFont="1" applyBorder="1"/>
    <xf numFmtId="3" fontId="22" fillId="0" borderId="13" xfId="0" applyNumberFormat="1" applyFont="1" applyBorder="1"/>
    <xf numFmtId="3" fontId="22" fillId="0" borderId="19" xfId="0" applyNumberFormat="1" applyFont="1" applyBorder="1"/>
    <xf numFmtId="3" fontId="22" fillId="0" borderId="58" xfId="0" applyNumberFormat="1" applyFont="1" applyBorder="1"/>
    <xf numFmtId="3" fontId="21" fillId="0" borderId="23" xfId="0" applyNumberFormat="1" applyFont="1" applyBorder="1"/>
    <xf numFmtId="169" fontId="47" fillId="11" borderId="86" xfId="0" applyNumberFormat="1" applyFont="1" applyFill="1" applyBorder="1"/>
    <xf numFmtId="37" fontId="21" fillId="0" borderId="22" xfId="0" applyNumberFormat="1" applyFont="1" applyBorder="1"/>
    <xf numFmtId="0" fontId="22" fillId="0" borderId="1" xfId="0" applyFont="1" applyBorder="1" applyAlignment="1">
      <alignment horizontal="center"/>
    </xf>
    <xf numFmtId="169" fontId="22" fillId="0" borderId="1" xfId="0" applyNumberFormat="1" applyFont="1" applyBorder="1"/>
    <xf numFmtId="0" fontId="22" fillId="0" borderId="12" xfId="0" applyFont="1" applyBorder="1" applyAlignment="1">
      <alignment horizontal="center"/>
    </xf>
    <xf numFmtId="3" fontId="21" fillId="0" borderId="24" xfId="0" applyNumberFormat="1" applyFont="1" applyBorder="1" applyAlignment="1">
      <alignment horizontal="center"/>
    </xf>
    <xf numFmtId="3" fontId="21" fillId="0" borderId="1" xfId="0" applyNumberFormat="1" applyFont="1" applyBorder="1" applyAlignment="1">
      <alignment horizontal="center"/>
    </xf>
    <xf numFmtId="3" fontId="21" fillId="0" borderId="15" xfId="0" applyNumberFormat="1" applyFont="1" applyBorder="1" applyAlignment="1">
      <alignment horizontal="center"/>
    </xf>
    <xf numFmtId="3" fontId="21" fillId="0" borderId="12" xfId="0" applyNumberFormat="1" applyFont="1" applyBorder="1" applyAlignment="1">
      <alignment horizontal="center"/>
    </xf>
    <xf numFmtId="3" fontId="21" fillId="0" borderId="55" xfId="0" applyNumberFormat="1" applyFont="1" applyBorder="1" applyAlignment="1">
      <alignment horizontal="center"/>
    </xf>
    <xf numFmtId="3" fontId="21" fillId="0" borderId="22" xfId="0" applyNumberFormat="1" applyFont="1" applyBorder="1" applyAlignment="1">
      <alignment horizontal="center"/>
    </xf>
    <xf numFmtId="3" fontId="21" fillId="0" borderId="13" xfId="0" applyNumberFormat="1" applyFont="1" applyBorder="1" applyAlignment="1">
      <alignment horizontal="center"/>
    </xf>
    <xf numFmtId="3" fontId="21" fillId="0" borderId="19" xfId="0" applyNumberFormat="1" applyFont="1" applyBorder="1" applyAlignment="1">
      <alignment horizontal="center"/>
    </xf>
    <xf numFmtId="3" fontId="21" fillId="0" borderId="58" xfId="0" applyNumberFormat="1" applyFont="1" applyBorder="1" applyAlignment="1">
      <alignment horizontal="center"/>
    </xf>
    <xf numFmtId="0" fontId="22" fillId="0" borderId="75" xfId="0" applyFont="1" applyBorder="1"/>
    <xf numFmtId="3" fontId="21" fillId="0" borderId="58" xfId="0" applyNumberFormat="1" applyFont="1" applyBorder="1"/>
    <xf numFmtId="3" fontId="21" fillId="0" borderId="24" xfId="0" applyNumberFormat="1" applyFont="1" applyBorder="1"/>
    <xf numFmtId="3" fontId="21" fillId="0" borderId="25" xfId="0" applyNumberFormat="1" applyFont="1" applyBorder="1"/>
    <xf numFmtId="3" fontId="21" fillId="0" borderId="56" xfId="0" applyNumberFormat="1" applyFont="1" applyBorder="1"/>
    <xf numFmtId="3" fontId="22" fillId="0" borderId="12" xfId="0" applyNumberFormat="1" applyFont="1" applyBorder="1"/>
    <xf numFmtId="0" fontId="22" fillId="4" borderId="70" xfId="0" applyFont="1" applyFill="1" applyBorder="1"/>
    <xf numFmtId="37" fontId="21" fillId="0" borderId="15" xfId="0" applyNumberFormat="1" applyFont="1" applyBorder="1" applyAlignment="1"/>
    <xf numFmtId="37" fontId="21" fillId="0" borderId="19" xfId="0" applyNumberFormat="1" applyFont="1" applyBorder="1" applyAlignment="1"/>
    <xf numFmtId="37" fontId="22" fillId="4" borderId="58" xfId="0" applyNumberFormat="1" applyFont="1" applyFill="1" applyBorder="1"/>
    <xf numFmtId="0" fontId="21" fillId="3" borderId="61" xfId="0" applyFont="1" applyFill="1" applyBorder="1"/>
    <xf numFmtId="0" fontId="30" fillId="0" borderId="1" xfId="0" applyFont="1" applyBorder="1" applyAlignment="1">
      <alignment horizontal="center" vertical="center"/>
    </xf>
    <xf numFmtId="0" fontId="19" fillId="0" borderId="1" xfId="0" applyFont="1" applyBorder="1" applyAlignment="1">
      <alignment horizontal="center"/>
    </xf>
    <xf numFmtId="0" fontId="19" fillId="0" borderId="1" xfId="0" applyFont="1" applyBorder="1"/>
    <xf numFmtId="0" fontId="21" fillId="0" borderId="87" xfId="0" applyFont="1" applyBorder="1" applyAlignment="1">
      <alignment horizontal="left"/>
    </xf>
    <xf numFmtId="0" fontId="22" fillId="0" borderId="88" xfId="0" applyFont="1" applyBorder="1" applyAlignment="1">
      <alignment horizontal="center" vertical="center"/>
    </xf>
    <xf numFmtId="0" fontId="21" fillId="0" borderId="32" xfId="0" applyFont="1" applyBorder="1" applyAlignment="1">
      <alignment horizontal="center"/>
    </xf>
    <xf numFmtId="0" fontId="21" fillId="0" borderId="33" xfId="0" applyFont="1" applyBorder="1" applyAlignment="1">
      <alignment horizontal="center"/>
    </xf>
    <xf numFmtId="0" fontId="21" fillId="0" borderId="34" xfId="0" applyFont="1" applyBorder="1" applyAlignment="1">
      <alignment horizontal="center"/>
    </xf>
    <xf numFmtId="0" fontId="24" fillId="0" borderId="22" xfId="0" applyFont="1" applyBorder="1"/>
    <xf numFmtId="37" fontId="24" fillId="0" borderId="32" xfId="0" applyNumberFormat="1" applyFont="1" applyBorder="1"/>
    <xf numFmtId="37" fontId="24" fillId="0" borderId="33" xfId="0" applyNumberFormat="1" applyFont="1" applyBorder="1"/>
    <xf numFmtId="37" fontId="24" fillId="0" borderId="22" xfId="0" applyNumberFormat="1" applyFont="1" applyBorder="1"/>
    <xf numFmtId="169" fontId="24" fillId="0" borderId="22" xfId="0" applyNumberFormat="1" applyFont="1" applyBorder="1"/>
    <xf numFmtId="37" fontId="24" fillId="0" borderId="34" xfId="0" applyNumberFormat="1" applyFont="1" applyBorder="1"/>
    <xf numFmtId="169" fontId="24" fillId="0" borderId="58" xfId="0" applyNumberFormat="1" applyFont="1" applyBorder="1"/>
    <xf numFmtId="0" fontId="30" fillId="3" borderId="75" xfId="0" applyFont="1" applyFill="1" applyBorder="1"/>
    <xf numFmtId="169" fontId="30" fillId="3" borderId="58" xfId="0" applyNumberFormat="1" applyFont="1" applyFill="1" applyBorder="1"/>
    <xf numFmtId="0" fontId="30" fillId="0" borderId="70" xfId="0" applyFont="1" applyBorder="1"/>
    <xf numFmtId="0" fontId="24" fillId="0" borderId="1" xfId="0" applyFont="1" applyBorder="1"/>
    <xf numFmtId="37" fontId="24" fillId="0" borderId="39" xfId="0" applyNumberFormat="1" applyFont="1" applyBorder="1"/>
    <xf numFmtId="37" fontId="24" fillId="0" borderId="1" xfId="0" applyNumberFormat="1" applyFont="1" applyBorder="1"/>
    <xf numFmtId="169" fontId="24" fillId="0" borderId="1" xfId="0" applyNumberFormat="1" applyFont="1" applyBorder="1"/>
    <xf numFmtId="37" fontId="24" fillId="0" borderId="41" xfId="0" applyNumberFormat="1" applyFont="1" applyBorder="1"/>
    <xf numFmtId="0" fontId="24" fillId="0" borderId="1" xfId="0" applyFont="1" applyBorder="1" applyAlignment="1">
      <alignment horizontal="right"/>
    </xf>
    <xf numFmtId="170" fontId="24" fillId="0" borderId="1" xfId="0" applyNumberFormat="1" applyFont="1" applyBorder="1"/>
    <xf numFmtId="0" fontId="24" fillId="0" borderId="39" xfId="0" applyFont="1" applyBorder="1"/>
    <xf numFmtId="0" fontId="24" fillId="0" borderId="22" xfId="0" applyFont="1" applyBorder="1" applyAlignment="1">
      <alignment horizontal="right"/>
    </xf>
    <xf numFmtId="170" fontId="24" fillId="0" borderId="22" xfId="0" applyNumberFormat="1" applyFont="1" applyBorder="1"/>
    <xf numFmtId="0" fontId="24" fillId="0" borderId="33" xfId="0" applyFont="1" applyBorder="1"/>
    <xf numFmtId="169" fontId="24" fillId="0" borderId="32" xfId="0" applyNumberFormat="1" applyFont="1" applyBorder="1"/>
    <xf numFmtId="0" fontId="30" fillId="3" borderId="76" xfId="0" applyFont="1" applyFill="1" applyBorder="1"/>
    <xf numFmtId="0" fontId="24" fillId="0" borderId="24" xfId="0" applyFont="1" applyBorder="1" applyAlignment="1">
      <alignment horizontal="right"/>
    </xf>
    <xf numFmtId="0" fontId="24" fillId="0" borderId="24" xfId="0" applyFont="1" applyBorder="1"/>
    <xf numFmtId="37" fontId="24" fillId="0" borderId="37" xfId="0" applyNumberFormat="1" applyFont="1" applyBorder="1"/>
    <xf numFmtId="0" fontId="24" fillId="0" borderId="38" xfId="0" applyFont="1" applyBorder="1"/>
    <xf numFmtId="170" fontId="24" fillId="0" borderId="24" xfId="0" applyNumberFormat="1" applyFont="1" applyBorder="1"/>
    <xf numFmtId="37" fontId="24" fillId="0" borderId="24" xfId="0" applyNumberFormat="1" applyFont="1" applyBorder="1"/>
    <xf numFmtId="169" fontId="24" fillId="0" borderId="24" xfId="0" applyNumberFormat="1" applyFont="1" applyBorder="1"/>
    <xf numFmtId="37" fontId="24" fillId="0" borderId="42" xfId="0" applyNumberFormat="1" applyFont="1" applyBorder="1"/>
    <xf numFmtId="169" fontId="30" fillId="0" borderId="1" xfId="0" applyNumberFormat="1" applyFont="1" applyBorder="1"/>
    <xf numFmtId="0" fontId="30" fillId="0" borderId="1" xfId="0" applyFont="1" applyBorder="1"/>
    <xf numFmtId="169" fontId="24" fillId="0" borderId="37" xfId="0" applyNumberFormat="1" applyFont="1" applyBorder="1"/>
    <xf numFmtId="0" fontId="24" fillId="0" borderId="41" xfId="0" applyFont="1" applyBorder="1"/>
    <xf numFmtId="169" fontId="24" fillId="0" borderId="92" xfId="0" applyNumberFormat="1" applyFont="1" applyBorder="1"/>
    <xf numFmtId="0" fontId="24" fillId="0" borderId="1" xfId="0" applyFont="1" applyFill="1" applyBorder="1"/>
    <xf numFmtId="37" fontId="24" fillId="0" borderId="1" xfId="0" applyNumberFormat="1" applyFont="1" applyFill="1" applyBorder="1"/>
    <xf numFmtId="169" fontId="24" fillId="0" borderId="37" xfId="0" applyNumberFormat="1" applyFont="1" applyFill="1" applyBorder="1"/>
    <xf numFmtId="37" fontId="24" fillId="0" borderId="49" xfId="0" applyNumberFormat="1" applyFont="1" applyFill="1" applyBorder="1"/>
    <xf numFmtId="0" fontId="30" fillId="4" borderId="77" xfId="0" applyFont="1" applyFill="1" applyBorder="1"/>
    <xf numFmtId="169" fontId="24" fillId="0" borderId="83" xfId="0" applyNumberFormat="1" applyFont="1" applyBorder="1"/>
    <xf numFmtId="0" fontId="30" fillId="3" borderId="78" xfId="0" applyFont="1" applyFill="1" applyBorder="1"/>
    <xf numFmtId="0" fontId="30" fillId="3" borderId="64" xfId="0" applyFont="1" applyFill="1" applyBorder="1"/>
    <xf numFmtId="0" fontId="30" fillId="3" borderId="64" xfId="0" applyFont="1" applyFill="1" applyBorder="1" applyAlignment="1">
      <alignment horizontal="center"/>
    </xf>
    <xf numFmtId="169" fontId="30" fillId="3" borderId="64" xfId="0" applyNumberFormat="1" applyFont="1" applyFill="1" applyBorder="1"/>
    <xf numFmtId="37" fontId="30" fillId="3" borderId="93" xfId="0" applyNumberFormat="1" applyFont="1" applyFill="1" applyBorder="1"/>
    <xf numFmtId="37" fontId="30" fillId="3" borderId="94" xfId="0" applyNumberFormat="1" applyFont="1" applyFill="1" applyBorder="1"/>
    <xf numFmtId="0" fontId="30" fillId="3" borderId="94" xfId="0" applyFont="1" applyFill="1" applyBorder="1" applyAlignment="1">
      <alignment horizontal="center"/>
    </xf>
    <xf numFmtId="169" fontId="30" fillId="3" borderId="86" xfId="0" applyNumberFormat="1" applyFont="1" applyFill="1" applyBorder="1"/>
    <xf numFmtId="0" fontId="30" fillId="3" borderId="95" xfId="0" applyFont="1" applyFill="1" applyBorder="1"/>
    <xf numFmtId="0" fontId="30" fillId="3" borderId="96" xfId="0" applyFont="1" applyFill="1" applyBorder="1"/>
    <xf numFmtId="0" fontId="30" fillId="3" borderId="96" xfId="0" applyFont="1" applyFill="1" applyBorder="1" applyAlignment="1">
      <alignment horizontal="center"/>
    </xf>
    <xf numFmtId="169" fontId="30" fillId="3" borderId="96" xfId="0" applyNumberFormat="1" applyFont="1" applyFill="1" applyBorder="1"/>
    <xf numFmtId="37" fontId="30" fillId="3" borderId="97" xfId="0" applyNumberFormat="1" applyFont="1" applyFill="1" applyBorder="1"/>
    <xf numFmtId="37" fontId="30" fillId="3" borderId="96" xfId="0" applyNumberFormat="1" applyFont="1" applyFill="1" applyBorder="1"/>
    <xf numFmtId="37" fontId="30" fillId="3" borderId="98" xfId="0" applyNumberFormat="1" applyFont="1" applyFill="1" applyBorder="1"/>
    <xf numFmtId="37" fontId="30" fillId="3" borderId="99" xfId="0" applyNumberFormat="1" applyFont="1" applyFill="1" applyBorder="1"/>
    <xf numFmtId="37" fontId="30" fillId="3" borderId="88" xfId="0" applyNumberFormat="1" applyFont="1" applyFill="1" applyBorder="1"/>
    <xf numFmtId="169" fontId="30" fillId="3" borderId="91" xfId="0" applyNumberFormat="1" applyFont="1" applyFill="1" applyBorder="1"/>
    <xf numFmtId="0" fontId="29" fillId="0" borderId="70" xfId="0" applyFont="1" applyBorder="1"/>
    <xf numFmtId="0" fontId="29" fillId="0" borderId="41" xfId="0" applyFont="1" applyBorder="1"/>
    <xf numFmtId="0" fontId="29" fillId="0" borderId="55" xfId="0" applyFont="1" applyBorder="1"/>
    <xf numFmtId="0" fontId="19" fillId="0" borderId="41" xfId="0" applyFont="1" applyBorder="1"/>
    <xf numFmtId="169" fontId="30" fillId="3" borderId="81" xfId="0" applyNumberFormat="1" applyFont="1" applyFill="1" applyBorder="1"/>
    <xf numFmtId="0" fontId="22" fillId="0" borderId="15" xfId="0" applyFont="1" applyFill="1" applyBorder="1"/>
    <xf numFmtId="169" fontId="51" fillId="0" borderId="12" xfId="1" applyNumberFormat="1" applyFont="1" applyFill="1" applyBorder="1"/>
    <xf numFmtId="3" fontId="21" fillId="0" borderId="55" xfId="0" applyNumberFormat="1" applyFont="1" applyFill="1" applyBorder="1"/>
    <xf numFmtId="3" fontId="51" fillId="0" borderId="55" xfId="0" applyNumberFormat="1" applyFont="1" applyFill="1" applyBorder="1"/>
    <xf numFmtId="0" fontId="20" fillId="0" borderId="0" xfId="0" applyFont="1" applyFill="1"/>
    <xf numFmtId="0" fontId="0" fillId="0" borderId="0" xfId="0" applyFont="1" applyFill="1" applyAlignment="1"/>
    <xf numFmtId="0" fontId="25" fillId="0" borderId="0" xfId="0" applyFont="1" applyFill="1"/>
    <xf numFmtId="0" fontId="13" fillId="0" borderId="0" xfId="0" applyFont="1" applyFill="1"/>
    <xf numFmtId="0" fontId="27" fillId="0" borderId="0" xfId="0" applyFont="1" applyFill="1"/>
    <xf numFmtId="39" fontId="21" fillId="0" borderId="0" xfId="0" applyNumberFormat="1" applyFont="1" applyFill="1"/>
    <xf numFmtId="0" fontId="19" fillId="0" borderId="0" xfId="0" applyFont="1" applyFill="1"/>
    <xf numFmtId="0" fontId="18" fillId="0" borderId="0" xfId="0" applyFont="1" applyFill="1"/>
    <xf numFmtId="0" fontId="18" fillId="0" borderId="1" xfId="0" applyFont="1" applyFill="1" applyBorder="1"/>
    <xf numFmtId="0" fontId="19" fillId="0" borderId="1" xfId="0" applyFont="1" applyFill="1" applyBorder="1"/>
    <xf numFmtId="0" fontId="28" fillId="0" borderId="0" xfId="0" applyFont="1" applyFill="1"/>
    <xf numFmtId="37" fontId="22" fillId="0" borderId="0" xfId="0" applyNumberFormat="1" applyFont="1" applyFill="1"/>
    <xf numFmtId="0" fontId="26" fillId="0" borderId="0" xfId="0" applyFont="1" applyFill="1"/>
    <xf numFmtId="169" fontId="21" fillId="0" borderId="0" xfId="0" applyNumberFormat="1" applyFont="1" applyFill="1"/>
    <xf numFmtId="169" fontId="22" fillId="0" borderId="0" xfId="0" applyNumberFormat="1" applyFont="1" applyFill="1"/>
    <xf numFmtId="37" fontId="19" fillId="0" borderId="1" xfId="0" applyNumberFormat="1" applyFont="1" applyFill="1" applyBorder="1"/>
    <xf numFmtId="0" fontId="18" fillId="0" borderId="0" xfId="0" applyFont="1" applyFill="1" applyAlignment="1">
      <alignment horizontal="center" vertical="center"/>
    </xf>
    <xf numFmtId="0" fontId="22" fillId="0" borderId="0" xfId="0" applyFont="1" applyFill="1" applyAlignment="1">
      <alignment horizontal="center"/>
    </xf>
    <xf numFmtId="0" fontId="21" fillId="0" borderId="0" xfId="0" applyFont="1" applyFill="1" applyAlignment="1">
      <alignment horizontal="center"/>
    </xf>
    <xf numFmtId="0" fontId="18" fillId="0" borderId="1" xfId="0" applyFont="1" applyFill="1" applyBorder="1" applyAlignment="1">
      <alignment horizontal="center" vertical="center"/>
    </xf>
    <xf numFmtId="0" fontId="22" fillId="0" borderId="1" xfId="0" applyFont="1" applyFill="1" applyBorder="1" applyAlignment="1">
      <alignment horizontal="center"/>
    </xf>
    <xf numFmtId="0" fontId="21" fillId="0" borderId="1" xfId="0" applyFont="1" applyFill="1" applyBorder="1" applyAlignment="1">
      <alignment horizontal="center"/>
    </xf>
    <xf numFmtId="169" fontId="21" fillId="0" borderId="1" xfId="0" applyNumberFormat="1" applyFont="1" applyFill="1" applyBorder="1"/>
    <xf numFmtId="0" fontId="29" fillId="0" borderId="0" xfId="0" applyFont="1" applyFill="1"/>
    <xf numFmtId="0" fontId="49" fillId="0" borderId="0" xfId="0" applyFont="1"/>
    <xf numFmtId="166" fontId="15" fillId="0" borderId="1" xfId="0" applyNumberFormat="1" applyFont="1" applyBorder="1"/>
    <xf numFmtId="166" fontId="17" fillId="0" borderId="1" xfId="0" applyNumberFormat="1" applyFont="1" applyBorder="1"/>
    <xf numFmtId="166" fontId="16" fillId="0" borderId="1" xfId="0" applyNumberFormat="1" applyFont="1" applyFill="1" applyBorder="1"/>
    <xf numFmtId="0" fontId="16" fillId="0" borderId="1" xfId="0" applyFont="1" applyFill="1" applyBorder="1"/>
    <xf numFmtId="166" fontId="15" fillId="0" borderId="1" xfId="0" applyNumberFormat="1" applyFont="1" applyFill="1" applyBorder="1"/>
    <xf numFmtId="166" fontId="17" fillId="0" borderId="1" xfId="0" applyNumberFormat="1" applyFont="1" applyFill="1" applyBorder="1"/>
    <xf numFmtId="0" fontId="11" fillId="0" borderId="0" xfId="0" applyFont="1" applyFill="1"/>
    <xf numFmtId="169" fontId="30" fillId="3" borderId="100" xfId="0" applyNumberFormat="1" applyFont="1" applyFill="1" applyBorder="1"/>
    <xf numFmtId="0" fontId="21" fillId="0" borderId="101" xfId="0" applyFont="1" applyBorder="1"/>
    <xf numFmtId="3" fontId="48" fillId="0" borderId="13" xfId="0" applyNumberFormat="1" applyFont="1" applyBorder="1"/>
    <xf numFmtId="3" fontId="48" fillId="0" borderId="22" xfId="0" applyNumberFormat="1" applyFont="1" applyBorder="1"/>
    <xf numFmtId="0" fontId="51" fillId="0" borderId="70" xfId="0" applyFont="1" applyBorder="1"/>
    <xf numFmtId="0" fontId="49" fillId="9" borderId="1" xfId="0" applyFont="1" applyFill="1" applyBorder="1"/>
    <xf numFmtId="0" fontId="52" fillId="0" borderId="77" xfId="0" applyFont="1" applyBorder="1"/>
    <xf numFmtId="4" fontId="53" fillId="0" borderId="0" xfId="0" applyNumberFormat="1" applyFont="1" applyAlignment="1">
      <alignment horizontal="center" vertical="top"/>
    </xf>
    <xf numFmtId="3" fontId="46" fillId="0" borderId="15" xfId="0" applyNumberFormat="1" applyFont="1" applyBorder="1"/>
    <xf numFmtId="3" fontId="30" fillId="3" borderId="17" xfId="0" applyNumberFormat="1" applyFont="1" applyFill="1" applyBorder="1" applyAlignment="1">
      <alignment horizontal="center"/>
    </xf>
    <xf numFmtId="39" fontId="42" fillId="10" borderId="44" xfId="0" applyNumberFormat="1" applyFont="1" applyFill="1" applyBorder="1" applyAlignment="1">
      <alignment horizontal="left" vertical="top"/>
    </xf>
    <xf numFmtId="37" fontId="30" fillId="12" borderId="17" xfId="0" applyNumberFormat="1" applyFont="1" applyFill="1" applyBorder="1"/>
    <xf numFmtId="0" fontId="11" fillId="0" borderId="102" xfId="0" applyFont="1" applyBorder="1"/>
    <xf numFmtId="166" fontId="54" fillId="0" borderId="50" xfId="0" applyNumberFormat="1" applyFont="1" applyBorder="1"/>
    <xf numFmtId="164" fontId="15" fillId="0" borderId="7" xfId="0" applyNumberFormat="1" applyFont="1" applyBorder="1"/>
    <xf numFmtId="164" fontId="16" fillId="3" borderId="9" xfId="0" applyNumberFormat="1" applyFont="1" applyFill="1" applyBorder="1"/>
    <xf numFmtId="164" fontId="16" fillId="3" borderId="11" xfId="0" applyNumberFormat="1" applyFont="1" applyFill="1" applyBorder="1"/>
    <xf numFmtId="164" fontId="17" fillId="0" borderId="5" xfId="0" applyNumberFormat="1" applyFont="1" applyBorder="1"/>
    <xf numFmtId="164" fontId="11" fillId="0" borderId="7" xfId="0" applyNumberFormat="1" applyFont="1" applyBorder="1"/>
    <xf numFmtId="164" fontId="15" fillId="0" borderId="51" xfId="0" applyNumberFormat="1" applyFont="1" applyBorder="1"/>
    <xf numFmtId="164" fontId="17" fillId="0" borderId="51" xfId="0" applyNumberFormat="1" applyFont="1" applyBorder="1"/>
    <xf numFmtId="164" fontId="15" fillId="0" borderId="3" xfId="0" applyNumberFormat="1" applyFont="1" applyBorder="1"/>
    <xf numFmtId="0" fontId="21" fillId="0" borderId="13" xfId="0" applyFont="1" applyBorder="1" applyAlignment="1"/>
    <xf numFmtId="3" fontId="21" fillId="0" borderId="12" xfId="0" applyNumberFormat="1" applyFont="1" applyBorder="1" applyAlignment="1"/>
    <xf numFmtId="0" fontId="0" fillId="0" borderId="0" xfId="0" applyFont="1" applyAlignment="1"/>
    <xf numFmtId="39" fontId="42" fillId="10" borderId="1" xfId="0" applyNumberFormat="1" applyFont="1" applyFill="1" applyBorder="1" applyAlignment="1">
      <alignment horizontal="left" vertical="top"/>
    </xf>
    <xf numFmtId="4" fontId="11" fillId="13" borderId="0" xfId="0" applyNumberFormat="1" applyFont="1" applyFill="1" applyAlignment="1">
      <alignment horizontal="center" vertical="top"/>
    </xf>
    <xf numFmtId="39" fontId="46" fillId="0" borderId="103" xfId="0" applyNumberFormat="1" applyFont="1" applyBorder="1"/>
    <xf numFmtId="165" fontId="39" fillId="0" borderId="0" xfId="0" applyNumberFormat="1" applyFont="1" applyAlignment="1">
      <alignment horizontal="center" vertical="top"/>
    </xf>
    <xf numFmtId="165" fontId="11" fillId="0" borderId="0" xfId="0" applyNumberFormat="1" applyFont="1" applyAlignment="1">
      <alignment horizontal="center" vertical="top"/>
    </xf>
    <xf numFmtId="165" fontId="53" fillId="0" borderId="0" xfId="0" applyNumberFormat="1" applyFont="1" applyAlignment="1">
      <alignment horizontal="center" vertical="top"/>
    </xf>
    <xf numFmtId="165" fontId="11" fillId="13" borderId="0" xfId="0" applyNumberFormat="1" applyFont="1" applyFill="1" applyAlignment="1">
      <alignment horizontal="center" vertical="top"/>
    </xf>
    <xf numFmtId="165" fontId="0" fillId="0" borderId="0" xfId="0" applyNumberFormat="1" applyFont="1" applyAlignment="1"/>
    <xf numFmtId="49" fontId="11" fillId="15" borderId="0" xfId="0" applyNumberFormat="1" applyFont="1" applyFill="1" applyAlignment="1">
      <alignment horizontal="left" vertical="top"/>
    </xf>
    <xf numFmtId="165" fontId="11" fillId="15" borderId="0" xfId="0" applyNumberFormat="1" applyFont="1" applyFill="1" applyAlignment="1">
      <alignment horizontal="center" vertical="top"/>
    </xf>
    <xf numFmtId="4" fontId="11" fillId="15" borderId="0" xfId="0" applyNumberFormat="1" applyFont="1" applyFill="1" applyAlignment="1">
      <alignment horizontal="center" vertical="top"/>
    </xf>
    <xf numFmtId="37" fontId="22" fillId="3" borderId="17" xfId="0" applyNumberFormat="1" applyFont="1" applyFill="1" applyBorder="1"/>
    <xf numFmtId="0" fontId="21" fillId="3" borderId="20" xfId="0" applyFont="1" applyFill="1" applyBorder="1"/>
    <xf numFmtId="0" fontId="9" fillId="0" borderId="1" xfId="2"/>
    <xf numFmtId="0" fontId="55" fillId="0" borderId="1" xfId="2" applyFont="1"/>
    <xf numFmtId="0" fontId="55" fillId="0" borderId="1" xfId="2" applyFont="1" applyAlignment="1">
      <alignment horizontal="center"/>
    </xf>
    <xf numFmtId="0" fontId="56" fillId="0" borderId="1" xfId="2" applyFont="1"/>
    <xf numFmtId="168" fontId="57" fillId="0" borderId="1" xfId="2" applyNumberFormat="1" applyFont="1" applyAlignment="1">
      <alignment horizontal="left"/>
    </xf>
    <xf numFmtId="0" fontId="57" fillId="0" borderId="1" xfId="2" applyFont="1"/>
    <xf numFmtId="0" fontId="58" fillId="0" borderId="1" xfId="2" applyFont="1"/>
    <xf numFmtId="0" fontId="46" fillId="0" borderId="1" xfId="2" applyFont="1"/>
    <xf numFmtId="0" fontId="59" fillId="0" borderId="1" xfId="2" applyFont="1"/>
    <xf numFmtId="0" fontId="60" fillId="0" borderId="1" xfId="2" applyFont="1"/>
    <xf numFmtId="0" fontId="61" fillId="0" borderId="1" xfId="2" applyFont="1"/>
    <xf numFmtId="0" fontId="63" fillId="16" borderId="1" xfId="2" applyFont="1" applyFill="1"/>
    <xf numFmtId="0" fontId="61" fillId="16" borderId="1" xfId="2" applyFont="1" applyFill="1"/>
    <xf numFmtId="0" fontId="64" fillId="16" borderId="1" xfId="2" applyFont="1" applyFill="1"/>
    <xf numFmtId="0" fontId="65" fillId="16" borderId="1" xfId="2" applyFont="1" applyFill="1" applyAlignment="1">
      <alignment horizontal="centerContinuous" vertical="center"/>
    </xf>
    <xf numFmtId="0" fontId="61" fillId="16" borderId="1" xfId="2" applyFont="1" applyFill="1" applyAlignment="1">
      <alignment horizontal="centerContinuous" vertical="center"/>
    </xf>
    <xf numFmtId="0" fontId="63" fillId="16" borderId="1" xfId="2" applyFont="1" applyFill="1" applyAlignment="1">
      <alignment horizontal="centerContinuous"/>
    </xf>
    <xf numFmtId="0" fontId="61" fillId="16" borderId="1" xfId="2" applyFont="1" applyFill="1" applyAlignment="1">
      <alignment horizontal="centerContinuous"/>
    </xf>
    <xf numFmtId="0" fontId="66" fillId="16" borderId="1" xfId="2" applyFont="1" applyFill="1" applyAlignment="1">
      <alignment horizontal="center"/>
    </xf>
    <xf numFmtId="169" fontId="61" fillId="16" borderId="1" xfId="2" applyNumberFormat="1" applyFont="1" applyFill="1"/>
    <xf numFmtId="37" fontId="61" fillId="16" borderId="1" xfId="2" applyNumberFormat="1" applyFont="1" applyFill="1"/>
    <xf numFmtId="169" fontId="63" fillId="16" borderId="1" xfId="2" applyNumberFormat="1" applyFont="1" applyFill="1"/>
    <xf numFmtId="37" fontId="63" fillId="16" borderId="1" xfId="2" applyNumberFormat="1" applyFont="1" applyFill="1"/>
    <xf numFmtId="0" fontId="67" fillId="16" borderId="1" xfId="2" applyFont="1" applyFill="1"/>
    <xf numFmtId="0" fontId="66" fillId="16" borderId="1" xfId="2" applyFont="1" applyFill="1" applyAlignment="1">
      <alignment horizontal="centerContinuous"/>
    </xf>
    <xf numFmtId="0" fontId="66" fillId="16" borderId="1" xfId="2" applyFont="1" applyFill="1" applyAlignment="1">
      <alignment horizontal="left"/>
    </xf>
    <xf numFmtId="0" fontId="68" fillId="16" borderId="1" xfId="2" applyFont="1" applyFill="1" applyProtection="1">
      <protection locked="0"/>
    </xf>
    <xf numFmtId="0" fontId="61" fillId="16" borderId="1" xfId="2" applyFont="1" applyFill="1" applyAlignment="1">
      <alignment horizontal="center"/>
    </xf>
    <xf numFmtId="0" fontId="69" fillId="16" borderId="1" xfId="2" applyFont="1" applyFill="1" applyAlignment="1">
      <alignment horizontal="centerContinuous"/>
    </xf>
    <xf numFmtId="0" fontId="63" fillId="16" borderId="1" xfId="2" applyFont="1" applyFill="1" applyAlignment="1">
      <alignment horizontal="left"/>
    </xf>
    <xf numFmtId="0" fontId="9" fillId="0" borderId="1" xfId="2" applyAlignment="1">
      <alignment horizontal="center"/>
    </xf>
    <xf numFmtId="0" fontId="70" fillId="0" borderId="1" xfId="2" applyFont="1" applyBorder="1" applyAlignment="1">
      <alignment horizontal="center"/>
    </xf>
    <xf numFmtId="0" fontId="55" fillId="13" borderId="54" xfId="2" applyFont="1" applyFill="1" applyBorder="1" applyAlignment="1">
      <alignment horizontal="center"/>
    </xf>
    <xf numFmtId="0" fontId="58" fillId="0" borderId="1" xfId="2" applyFont="1" applyAlignment="1">
      <alignment horizontal="center"/>
    </xf>
    <xf numFmtId="0" fontId="20" fillId="0" borderId="0" xfId="0" applyFont="1" applyAlignment="1">
      <alignment horizontal="center"/>
    </xf>
    <xf numFmtId="0" fontId="9" fillId="0" borderId="1" xfId="2" applyFill="1" applyAlignment="1">
      <alignment horizontal="center"/>
    </xf>
    <xf numFmtId="0" fontId="70" fillId="0" borderId="1" xfId="2" applyFont="1" applyFill="1" applyBorder="1" applyAlignment="1">
      <alignment horizontal="center"/>
    </xf>
    <xf numFmtId="0" fontId="55" fillId="0" borderId="1" xfId="2" applyFont="1" applyFill="1" applyBorder="1" applyAlignment="1">
      <alignment horizontal="center"/>
    </xf>
    <xf numFmtId="0" fontId="9" fillId="0" borderId="1" xfId="2" applyFill="1"/>
    <xf numFmtId="0" fontId="20" fillId="17" borderId="0" xfId="0" applyFont="1" applyFill="1"/>
    <xf numFmtId="169" fontId="21" fillId="0" borderId="1" xfId="1" applyNumberFormat="1" applyFont="1" applyFill="1" applyBorder="1"/>
    <xf numFmtId="169" fontId="22" fillId="0" borderId="9" xfId="0" applyNumberFormat="1" applyFont="1" applyFill="1" applyBorder="1"/>
    <xf numFmtId="3" fontId="21" fillId="0" borderId="22" xfId="0" applyNumberFormat="1" applyFont="1" applyBorder="1" applyAlignment="1">
      <alignment horizontal="right"/>
    </xf>
    <xf numFmtId="0" fontId="71" fillId="0" borderId="0" xfId="0" applyFont="1" applyAlignment="1"/>
    <xf numFmtId="0" fontId="23" fillId="0" borderId="0" xfId="0" applyFont="1" applyAlignment="1"/>
    <xf numFmtId="3" fontId="21" fillId="0" borderId="167" xfId="0" applyNumberFormat="1" applyFont="1" applyBorder="1"/>
    <xf numFmtId="3" fontId="21" fillId="0" borderId="168" xfId="0" applyNumberFormat="1" applyFont="1" applyBorder="1"/>
    <xf numFmtId="3" fontId="21" fillId="0" borderId="169" xfId="0" applyNumberFormat="1" applyFont="1" applyBorder="1"/>
    <xf numFmtId="3" fontId="21" fillId="0" borderId="24" xfId="0" applyNumberFormat="1" applyFont="1" applyFill="1" applyBorder="1"/>
    <xf numFmtId="3" fontId="21" fillId="0" borderId="25" xfId="0" applyNumberFormat="1" applyFont="1" applyFill="1" applyBorder="1"/>
    <xf numFmtId="0" fontId="72" fillId="0" borderId="0" xfId="0" applyFont="1" applyAlignment="1"/>
    <xf numFmtId="0" fontId="46" fillId="0" borderId="108" xfId="0" applyFont="1" applyBorder="1"/>
    <xf numFmtId="169" fontId="30" fillId="3" borderId="57" xfId="0" applyNumberFormat="1" applyFont="1" applyFill="1" applyBorder="1"/>
    <xf numFmtId="0" fontId="8" fillId="0" borderId="1" xfId="3"/>
    <xf numFmtId="0" fontId="73" fillId="0" borderId="172" xfId="3" applyFont="1" applyBorder="1"/>
    <xf numFmtId="0" fontId="8" fillId="0" borderId="172" xfId="3" applyBorder="1"/>
    <xf numFmtId="0" fontId="8" fillId="0" borderId="172" xfId="3" applyBorder="1" applyAlignment="1">
      <alignment horizontal="left" indent="1"/>
    </xf>
    <xf numFmtId="0" fontId="73" fillId="0" borderId="189" xfId="3" applyFont="1" applyBorder="1"/>
    <xf numFmtId="0" fontId="73" fillId="18" borderId="170" xfId="3" applyFont="1" applyFill="1" applyBorder="1" applyAlignment="1">
      <alignment horizontal="center"/>
    </xf>
    <xf numFmtId="0" fontId="73" fillId="18" borderId="177" xfId="3" applyFont="1" applyFill="1" applyBorder="1" applyAlignment="1">
      <alignment horizontal="center"/>
    </xf>
    <xf numFmtId="0" fontId="73" fillId="18" borderId="178" xfId="3" applyFont="1" applyFill="1" applyBorder="1" applyAlignment="1">
      <alignment horizontal="center"/>
    </xf>
    <xf numFmtId="0" fontId="73" fillId="18" borderId="127" xfId="3" applyFont="1" applyFill="1" applyBorder="1" applyAlignment="1">
      <alignment horizontal="center"/>
    </xf>
    <xf numFmtId="0" fontId="73" fillId="18" borderId="171" xfId="3" applyFont="1" applyFill="1" applyBorder="1" applyAlignment="1">
      <alignment horizontal="center"/>
    </xf>
    <xf numFmtId="0" fontId="73" fillId="19" borderId="170" xfId="3" applyFont="1" applyFill="1" applyBorder="1" applyAlignment="1">
      <alignment horizontal="center"/>
    </xf>
    <xf numFmtId="0" fontId="73" fillId="19" borderId="177" xfId="3" applyFont="1" applyFill="1" applyBorder="1" applyAlignment="1">
      <alignment horizontal="center"/>
    </xf>
    <xf numFmtId="0" fontId="73" fillId="19" borderId="178" xfId="3" applyFont="1" applyFill="1" applyBorder="1" applyAlignment="1">
      <alignment horizontal="center"/>
    </xf>
    <xf numFmtId="0" fontId="73" fillId="19" borderId="179" xfId="3" applyFont="1" applyFill="1" applyBorder="1" applyAlignment="1">
      <alignment horizontal="center"/>
    </xf>
    <xf numFmtId="0" fontId="73" fillId="19" borderId="127" xfId="3" applyFont="1" applyFill="1" applyBorder="1" applyAlignment="1">
      <alignment horizontal="center"/>
    </xf>
    <xf numFmtId="0" fontId="73" fillId="19" borderId="171" xfId="3" applyFont="1" applyFill="1" applyBorder="1" applyAlignment="1">
      <alignment horizontal="center"/>
    </xf>
    <xf numFmtId="0" fontId="8" fillId="0" borderId="1" xfId="3" applyAlignment="1">
      <alignment horizontal="center"/>
    </xf>
    <xf numFmtId="0" fontId="73" fillId="11" borderId="170" xfId="3" applyFont="1" applyFill="1" applyBorder="1" applyAlignment="1">
      <alignment horizontal="center"/>
    </xf>
    <xf numFmtId="0" fontId="73" fillId="11" borderId="177" xfId="3" applyFont="1" applyFill="1" applyBorder="1" applyAlignment="1">
      <alignment horizontal="center"/>
    </xf>
    <xf numFmtId="0" fontId="73" fillId="11" borderId="178" xfId="3" applyFont="1" applyFill="1" applyBorder="1" applyAlignment="1">
      <alignment horizontal="center"/>
    </xf>
    <xf numFmtId="0" fontId="73" fillId="11" borderId="127" xfId="3" applyFont="1" applyFill="1" applyBorder="1" applyAlignment="1">
      <alignment horizontal="center"/>
    </xf>
    <xf numFmtId="0" fontId="73" fillId="11" borderId="171" xfId="3" applyFont="1" applyFill="1" applyBorder="1" applyAlignment="1">
      <alignment horizontal="center"/>
    </xf>
    <xf numFmtId="37" fontId="73" fillId="0" borderId="180" xfId="3" applyNumberFormat="1" applyFont="1" applyBorder="1" applyAlignment="1">
      <alignment horizontal="center"/>
    </xf>
    <xf numFmtId="1" fontId="73" fillId="0" borderId="181" xfId="3" applyNumberFormat="1" applyFont="1" applyBorder="1" applyAlignment="1">
      <alignment horizontal="center"/>
    </xf>
    <xf numFmtId="1" fontId="73" fillId="0" borderId="161" xfId="3" applyNumberFormat="1" applyFont="1" applyBorder="1" applyAlignment="1">
      <alignment horizontal="center"/>
    </xf>
    <xf numFmtId="1" fontId="73" fillId="0" borderId="173" xfId="3" applyNumberFormat="1" applyFont="1" applyBorder="1" applyAlignment="1">
      <alignment horizontal="center"/>
    </xf>
    <xf numFmtId="165" fontId="73" fillId="0" borderId="180" xfId="3" applyNumberFormat="1" applyFont="1" applyBorder="1" applyAlignment="1">
      <alignment horizontal="center"/>
    </xf>
    <xf numFmtId="165" fontId="73" fillId="0" borderId="181" xfId="3" applyNumberFormat="1" applyFont="1" applyBorder="1" applyAlignment="1">
      <alignment horizontal="center"/>
    </xf>
    <xf numFmtId="165" fontId="73" fillId="0" borderId="161" xfId="3" applyNumberFormat="1" applyFont="1" applyBorder="1" applyAlignment="1">
      <alignment horizontal="center"/>
    </xf>
    <xf numFmtId="165" fontId="73" fillId="0" borderId="173" xfId="3" applyNumberFormat="1" applyFont="1" applyBorder="1" applyAlignment="1">
      <alignment horizontal="center"/>
    </xf>
    <xf numFmtId="0" fontId="8" fillId="0" borderId="174" xfId="3" applyBorder="1"/>
    <xf numFmtId="0" fontId="73" fillId="20" borderId="170" xfId="3" applyFont="1" applyFill="1" applyBorder="1" applyAlignment="1">
      <alignment horizontal="center"/>
    </xf>
    <xf numFmtId="0" fontId="73" fillId="20" borderId="177" xfId="3" applyFont="1" applyFill="1" applyBorder="1" applyAlignment="1">
      <alignment horizontal="center"/>
    </xf>
    <xf numFmtId="0" fontId="73" fillId="20" borderId="178" xfId="3" applyFont="1" applyFill="1" applyBorder="1" applyAlignment="1">
      <alignment horizontal="center"/>
    </xf>
    <xf numFmtId="0" fontId="73" fillId="20" borderId="127" xfId="3" applyFont="1" applyFill="1" applyBorder="1" applyAlignment="1">
      <alignment horizontal="center"/>
    </xf>
    <xf numFmtId="0" fontId="73" fillId="20" borderId="171" xfId="3" applyFont="1" applyFill="1" applyBorder="1" applyAlignment="1">
      <alignment horizontal="center"/>
    </xf>
    <xf numFmtId="0" fontId="73" fillId="0" borderId="172" xfId="3" applyFont="1" applyBorder="1" applyAlignment="1">
      <alignment horizontal="left"/>
    </xf>
    <xf numFmtId="9" fontId="73" fillId="0" borderId="183" xfId="4" applyFont="1" applyBorder="1" applyAlignment="1">
      <alignment horizontal="center"/>
    </xf>
    <xf numFmtId="9" fontId="73" fillId="0" borderId="184" xfId="4" applyFont="1" applyBorder="1" applyAlignment="1">
      <alignment horizontal="center"/>
    </xf>
    <xf numFmtId="9" fontId="73" fillId="0" borderId="185" xfId="4" applyFont="1" applyBorder="1" applyAlignment="1">
      <alignment horizontal="center"/>
    </xf>
    <xf numFmtId="9" fontId="73" fillId="0" borderId="180" xfId="4" applyFont="1" applyBorder="1" applyAlignment="1">
      <alignment horizontal="center"/>
    </xf>
    <xf numFmtId="9" fontId="73" fillId="0" borderId="181" xfId="4" applyFont="1" applyBorder="1" applyAlignment="1">
      <alignment horizontal="center"/>
    </xf>
    <xf numFmtId="9" fontId="73" fillId="0" borderId="182" xfId="4" applyFont="1" applyBorder="1" applyAlignment="1">
      <alignment horizontal="center"/>
    </xf>
    <xf numFmtId="0" fontId="73" fillId="21" borderId="170" xfId="3" applyFont="1" applyFill="1" applyBorder="1" applyAlignment="1">
      <alignment horizontal="center"/>
    </xf>
    <xf numFmtId="0" fontId="73" fillId="21" borderId="177" xfId="3" applyFont="1" applyFill="1" applyBorder="1" applyAlignment="1">
      <alignment horizontal="center"/>
    </xf>
    <xf numFmtId="0" fontId="73" fillId="21" borderId="178" xfId="3" applyFont="1" applyFill="1" applyBorder="1" applyAlignment="1">
      <alignment horizontal="center"/>
    </xf>
    <xf numFmtId="0" fontId="73" fillId="21" borderId="127" xfId="3" applyFont="1" applyFill="1" applyBorder="1" applyAlignment="1">
      <alignment horizontal="center"/>
    </xf>
    <xf numFmtId="0" fontId="73" fillId="21" borderId="171" xfId="3" applyFont="1" applyFill="1" applyBorder="1" applyAlignment="1">
      <alignment horizontal="center"/>
    </xf>
    <xf numFmtId="0" fontId="8" fillId="13" borderId="172" xfId="3" applyFill="1" applyBorder="1" applyAlignment="1">
      <alignment horizontal="left" indent="1"/>
    </xf>
    <xf numFmtId="0" fontId="8" fillId="13" borderId="174" xfId="3" applyFill="1" applyBorder="1" applyAlignment="1">
      <alignment horizontal="left" indent="1"/>
    </xf>
    <xf numFmtId="0" fontId="24" fillId="0" borderId="101" xfId="0" applyFont="1" applyBorder="1"/>
    <xf numFmtId="0" fontId="24" fillId="0" borderId="195" xfId="0" applyFont="1" applyBorder="1"/>
    <xf numFmtId="0" fontId="24" fillId="0" borderId="54" xfId="0" applyFont="1" applyBorder="1" applyAlignment="1">
      <alignment horizontal="right"/>
    </xf>
    <xf numFmtId="0" fontId="24" fillId="0" borderId="54" xfId="0" applyFont="1" applyBorder="1"/>
    <xf numFmtId="37" fontId="24" fillId="0" borderId="196" xfId="0" applyNumberFormat="1" applyFont="1" applyBorder="1"/>
    <xf numFmtId="0" fontId="24" fillId="0" borderId="197" xfId="0" applyFont="1" applyBorder="1"/>
    <xf numFmtId="170" fontId="24" fillId="0" borderId="54" xfId="0" applyNumberFormat="1" applyFont="1" applyBorder="1"/>
    <xf numFmtId="37" fontId="24" fillId="0" borderId="197" xfId="0" applyNumberFormat="1" applyFont="1" applyBorder="1"/>
    <xf numFmtId="37" fontId="24" fillId="0" borderId="54" xfId="0" applyNumberFormat="1" applyFont="1" applyBorder="1"/>
    <xf numFmtId="169" fontId="24" fillId="0" borderId="54" xfId="0" applyNumberFormat="1" applyFont="1" applyBorder="1"/>
    <xf numFmtId="37" fontId="24" fillId="0" borderId="198" xfId="0" applyNumberFormat="1" applyFont="1" applyBorder="1"/>
    <xf numFmtId="169" fontId="24" fillId="0" borderId="199" xfId="0" applyNumberFormat="1" applyFont="1" applyBorder="1"/>
    <xf numFmtId="1" fontId="43" fillId="10" borderId="44" xfId="0" applyNumberFormat="1" applyFont="1" applyFill="1" applyBorder="1" applyAlignment="1">
      <alignment horizontal="left" vertical="top"/>
    </xf>
    <xf numFmtId="0" fontId="47" fillId="22" borderId="104" xfId="0" applyFont="1" applyFill="1" applyBorder="1" applyAlignment="1">
      <alignment horizontal="center"/>
    </xf>
    <xf numFmtId="0" fontId="46" fillId="22" borderId="107" xfId="0" applyFont="1" applyFill="1" applyBorder="1"/>
    <xf numFmtId="3" fontId="46" fillId="22" borderId="108" xfId="0" applyNumberFormat="1" applyFont="1" applyFill="1" applyBorder="1" applyAlignment="1">
      <alignment horizontal="center"/>
    </xf>
    <xf numFmtId="3" fontId="46" fillId="22" borderId="0" xfId="0" applyNumberFormat="1" applyFont="1" applyFill="1" applyAlignment="1">
      <alignment horizontal="center"/>
    </xf>
    <xf numFmtId="3" fontId="46" fillId="22" borderId="109" xfId="0" applyNumberFormat="1" applyFont="1" applyFill="1" applyBorder="1" applyAlignment="1">
      <alignment horizontal="center"/>
    </xf>
    <xf numFmtId="0" fontId="46" fillId="22" borderId="110" xfId="0" applyFont="1" applyFill="1" applyBorder="1"/>
    <xf numFmtId="3" fontId="46" fillId="22" borderId="110" xfId="0" applyNumberFormat="1" applyFont="1" applyFill="1" applyBorder="1" applyAlignment="1">
      <alignment horizontal="center"/>
    </xf>
    <xf numFmtId="3" fontId="46" fillId="22" borderId="103" xfId="0" applyNumberFormat="1" applyFont="1" applyFill="1" applyBorder="1" applyAlignment="1">
      <alignment horizontal="center"/>
    </xf>
    <xf numFmtId="3" fontId="46" fillId="22" borderId="111" xfId="0" applyNumberFormat="1" applyFont="1" applyFill="1" applyBorder="1" applyAlignment="1">
      <alignment horizontal="right"/>
    </xf>
    <xf numFmtId="3" fontId="46" fillId="22" borderId="111" xfId="0" applyNumberFormat="1" applyFont="1" applyFill="1" applyBorder="1" applyAlignment="1" applyProtection="1">
      <alignment horizontal="right"/>
      <protection locked="0"/>
    </xf>
    <xf numFmtId="0" fontId="46" fillId="22" borderId="108" xfId="0" applyFont="1" applyFill="1" applyBorder="1"/>
    <xf numFmtId="3" fontId="46" fillId="22" borderId="108" xfId="0" applyNumberFormat="1" applyFont="1" applyFill="1" applyBorder="1"/>
    <xf numFmtId="3" fontId="46" fillId="22" borderId="0" xfId="0" applyNumberFormat="1" applyFont="1" applyFill="1"/>
    <xf numFmtId="3" fontId="46" fillId="22" borderId="109" xfId="0" applyNumberFormat="1" applyFont="1" applyFill="1" applyBorder="1"/>
    <xf numFmtId="3" fontId="46" fillId="22" borderId="108" xfId="0" applyNumberFormat="1" applyFont="1" applyFill="1" applyBorder="1" applyProtection="1">
      <protection locked="0"/>
    </xf>
    <xf numFmtId="3" fontId="46" fillId="22" borderId="109" xfId="0" applyNumberFormat="1" applyFont="1" applyFill="1" applyBorder="1" applyProtection="1">
      <protection locked="0"/>
    </xf>
    <xf numFmtId="0" fontId="47" fillId="22" borderId="107" xfId="0" applyFont="1" applyFill="1" applyBorder="1"/>
    <xf numFmtId="3" fontId="47" fillId="22" borderId="107" xfId="0" applyNumberFormat="1" applyFont="1" applyFill="1" applyBorder="1"/>
    <xf numFmtId="3" fontId="47" fillId="22" borderId="112" xfId="0" applyNumberFormat="1" applyFont="1" applyFill="1" applyBorder="1"/>
    <xf numFmtId="3" fontId="47" fillId="22" borderId="113" xfId="0" applyNumberFormat="1" applyFont="1" applyFill="1" applyBorder="1"/>
    <xf numFmtId="0" fontId="46" fillId="22" borderId="109" xfId="0" applyFont="1" applyFill="1" applyBorder="1"/>
    <xf numFmtId="0" fontId="47" fillId="22" borderId="114" xfId="0" applyFont="1" applyFill="1" applyBorder="1"/>
    <xf numFmtId="3" fontId="46" fillId="22" borderId="114" xfId="0" applyNumberFormat="1" applyFont="1" applyFill="1" applyBorder="1"/>
    <xf numFmtId="3" fontId="46" fillId="22" borderId="53" xfId="0" applyNumberFormat="1" applyFont="1" applyFill="1" applyBorder="1"/>
    <xf numFmtId="3" fontId="46" fillId="22" borderId="115" xfId="0" applyNumberFormat="1" applyFont="1" applyFill="1" applyBorder="1"/>
    <xf numFmtId="3" fontId="46" fillId="22" borderId="114" xfId="0" applyNumberFormat="1" applyFont="1" applyFill="1" applyBorder="1" applyProtection="1">
      <protection locked="0"/>
    </xf>
    <xf numFmtId="3" fontId="46" fillId="22" borderId="115" xfId="0" applyNumberFormat="1" applyFont="1" applyFill="1" applyBorder="1" applyProtection="1">
      <protection locked="0"/>
    </xf>
    <xf numFmtId="0" fontId="47" fillId="22" borderId="108" xfId="0" applyFont="1" applyFill="1" applyBorder="1"/>
    <xf numFmtId="3" fontId="46" fillId="22" borderId="107" xfId="0" applyNumberFormat="1" applyFont="1" applyFill="1" applyBorder="1"/>
    <xf numFmtId="3" fontId="46" fillId="22" borderId="112" xfId="0" applyNumberFormat="1" applyFont="1" applyFill="1" applyBorder="1"/>
    <xf numFmtId="3" fontId="46" fillId="22" borderId="113" xfId="0" applyNumberFormat="1" applyFont="1" applyFill="1" applyBorder="1"/>
    <xf numFmtId="0" fontId="47" fillId="22" borderId="110" xfId="0" applyFont="1" applyFill="1" applyBorder="1"/>
    <xf numFmtId="0" fontId="46" fillId="22" borderId="0" xfId="0" applyFont="1" applyFill="1"/>
    <xf numFmtId="37" fontId="46" fillId="22" borderId="109" xfId="0" applyNumberFormat="1" applyFont="1" applyFill="1" applyBorder="1"/>
    <xf numFmtId="0" fontId="47" fillId="23" borderId="116" xfId="0" applyFont="1" applyFill="1" applyBorder="1"/>
    <xf numFmtId="37" fontId="47" fillId="23" borderId="116" xfId="0" applyNumberFormat="1" applyFont="1" applyFill="1" applyBorder="1"/>
    <xf numFmtId="170" fontId="47" fillId="23" borderId="117" xfId="0" applyNumberFormat="1" applyFont="1" applyFill="1" applyBorder="1"/>
    <xf numFmtId="37" fontId="47" fillId="23" borderId="118" xfId="0" applyNumberFormat="1" applyFont="1" applyFill="1" applyBorder="1"/>
    <xf numFmtId="0" fontId="47" fillId="23" borderId="119" xfId="0" applyFont="1" applyFill="1" applyBorder="1"/>
    <xf numFmtId="0" fontId="47" fillId="23" borderId="120" xfId="0" applyFont="1" applyFill="1" applyBorder="1"/>
    <xf numFmtId="0" fontId="47" fillId="23" borderId="121" xfId="0" applyFont="1" applyFill="1" applyBorder="1"/>
    <xf numFmtId="0" fontId="47" fillId="24" borderId="108" xfId="0" applyFont="1" applyFill="1" applyBorder="1"/>
    <xf numFmtId="0" fontId="47" fillId="24" borderId="0" xfId="0" applyFont="1" applyFill="1"/>
    <xf numFmtId="0" fontId="47" fillId="24" borderId="109" xfId="0" applyFont="1" applyFill="1" applyBorder="1"/>
    <xf numFmtId="0" fontId="47" fillId="22" borderId="108" xfId="0" applyFont="1" applyFill="1" applyBorder="1" applyAlignment="1">
      <alignment horizontal="left"/>
    </xf>
    <xf numFmtId="0" fontId="46" fillId="22" borderId="0" xfId="0" applyFont="1" applyFill="1" applyAlignment="1">
      <alignment horizontal="center"/>
    </xf>
    <xf numFmtId="9" fontId="46" fillId="22" borderId="108" xfId="1" applyFont="1" applyFill="1" applyBorder="1"/>
    <xf numFmtId="37" fontId="46" fillId="22" borderId="0" xfId="0" applyNumberFormat="1" applyFont="1" applyFill="1"/>
    <xf numFmtId="37" fontId="46" fillId="22" borderId="109" xfId="0" applyNumberFormat="1" applyFont="1" applyFill="1" applyBorder="1" applyProtection="1">
      <protection locked="0"/>
    </xf>
    <xf numFmtId="9" fontId="46" fillId="22" borderId="110" xfId="1" applyFont="1" applyFill="1" applyBorder="1"/>
    <xf numFmtId="37" fontId="46" fillId="22" borderId="103" xfId="0" applyNumberFormat="1" applyFont="1" applyFill="1" applyBorder="1"/>
    <xf numFmtId="37" fontId="46" fillId="22" borderId="111" xfId="0" applyNumberFormat="1" applyFont="1" applyFill="1" applyBorder="1"/>
    <xf numFmtId="37" fontId="46" fillId="22" borderId="111" xfId="0" applyNumberFormat="1" applyFont="1" applyFill="1" applyBorder="1" applyProtection="1">
      <protection locked="0"/>
    </xf>
    <xf numFmtId="0" fontId="47" fillId="23" borderId="122" xfId="0" applyFont="1" applyFill="1" applyBorder="1"/>
    <xf numFmtId="0" fontId="47" fillId="23" borderId="122" xfId="0" applyFont="1" applyFill="1" applyBorder="1" applyAlignment="1">
      <alignment horizontal="center"/>
    </xf>
    <xf numFmtId="169" fontId="47" fillId="23" borderId="123" xfId="0" applyNumberFormat="1" applyFont="1" applyFill="1" applyBorder="1"/>
    <xf numFmtId="37" fontId="47" fillId="23" borderId="124" xfId="0" applyNumberFormat="1" applyFont="1" applyFill="1" applyBorder="1"/>
    <xf numFmtId="0" fontId="50" fillId="22" borderId="108" xfId="0" applyFont="1" applyFill="1" applyBorder="1"/>
    <xf numFmtId="0" fontId="50" fillId="22" borderId="110" xfId="0" applyFont="1" applyFill="1" applyBorder="1"/>
    <xf numFmtId="0" fontId="46" fillId="22" borderId="112" xfId="0" applyFont="1" applyFill="1" applyBorder="1"/>
    <xf numFmtId="37" fontId="46" fillId="22" borderId="113" xfId="0" applyNumberFormat="1" applyFont="1" applyFill="1" applyBorder="1"/>
    <xf numFmtId="37" fontId="46" fillId="22" borderId="113" xfId="0" applyNumberFormat="1" applyFont="1" applyFill="1" applyBorder="1" applyProtection="1">
      <protection locked="0"/>
    </xf>
    <xf numFmtId="0" fontId="50" fillId="24" borderId="108" xfId="0" applyFont="1" applyFill="1" applyBorder="1"/>
    <xf numFmtId="0" fontId="46" fillId="22" borderId="103" xfId="0" applyFont="1" applyFill="1" applyBorder="1"/>
    <xf numFmtId="0" fontId="46" fillId="22" borderId="114" xfId="0" applyFont="1" applyFill="1" applyBorder="1"/>
    <xf numFmtId="0" fontId="46" fillId="22" borderId="53" xfId="0" applyFont="1" applyFill="1" applyBorder="1"/>
    <xf numFmtId="37" fontId="46" fillId="22" borderId="115" xfId="0" applyNumberFormat="1" applyFont="1" applyFill="1" applyBorder="1"/>
    <xf numFmtId="37" fontId="46" fillId="22" borderId="115" xfId="0" applyNumberFormat="1" applyFont="1" applyFill="1" applyBorder="1" applyProtection="1">
      <protection locked="0"/>
    </xf>
    <xf numFmtId="0" fontId="47" fillId="23" borderId="125" xfId="0" applyFont="1" applyFill="1" applyBorder="1"/>
    <xf numFmtId="37" fontId="47" fillId="23" borderId="126" xfId="0" applyNumberFormat="1" applyFont="1" applyFill="1" applyBorder="1"/>
    <xf numFmtId="0" fontId="47" fillId="23" borderId="127" xfId="0" applyFont="1" applyFill="1" applyBorder="1"/>
    <xf numFmtId="0" fontId="47" fillId="23" borderId="128" xfId="0" applyFont="1" applyFill="1" applyBorder="1" applyAlignment="1">
      <alignment horizontal="center"/>
    </xf>
    <xf numFmtId="169" fontId="47" fillId="23" borderId="129" xfId="0" applyNumberFormat="1" applyFont="1" applyFill="1" applyBorder="1"/>
    <xf numFmtId="37" fontId="47" fillId="23" borderId="130" xfId="0" applyNumberFormat="1" applyFont="1" applyFill="1" applyBorder="1"/>
    <xf numFmtId="0" fontId="46" fillId="24" borderId="110" xfId="0" applyFont="1" applyFill="1" applyBorder="1"/>
    <xf numFmtId="0" fontId="46" fillId="24" borderId="103" xfId="0" applyFont="1" applyFill="1" applyBorder="1"/>
    <xf numFmtId="37" fontId="47" fillId="24" borderId="109" xfId="0" applyNumberFormat="1" applyFont="1" applyFill="1" applyBorder="1"/>
    <xf numFmtId="0" fontId="47" fillId="23" borderId="131" xfId="0" applyFont="1" applyFill="1" applyBorder="1"/>
    <xf numFmtId="0" fontId="46" fillId="23" borderId="131" xfId="0" applyFont="1" applyFill="1" applyBorder="1"/>
    <xf numFmtId="0" fontId="46" fillId="23" borderId="132" xfId="0" applyFont="1" applyFill="1" applyBorder="1"/>
    <xf numFmtId="37" fontId="47" fillId="23" borderId="133" xfId="0" applyNumberFormat="1" applyFont="1" applyFill="1" applyBorder="1"/>
    <xf numFmtId="0" fontId="59" fillId="22" borderId="0" xfId="0" applyFont="1" applyFill="1"/>
    <xf numFmtId="37" fontId="59" fillId="22" borderId="0" xfId="0" applyNumberFormat="1" applyFont="1" applyFill="1"/>
    <xf numFmtId="0" fontId="57" fillId="22" borderId="0" xfId="0" applyFont="1" applyFill="1"/>
    <xf numFmtId="0" fontId="56" fillId="22" borderId="0" xfId="0" applyFont="1" applyFill="1"/>
    <xf numFmtId="0" fontId="55" fillId="22" borderId="0" xfId="0" applyFont="1" applyFill="1"/>
    <xf numFmtId="168" fontId="57" fillId="22" borderId="0" xfId="0" applyNumberFormat="1" applyFont="1" applyFill="1" applyAlignment="1">
      <alignment horizontal="left"/>
    </xf>
    <xf numFmtId="0" fontId="46" fillId="22" borderId="108" xfId="0" applyFont="1" applyFill="1" applyBorder="1" applyAlignment="1">
      <alignment horizontal="center"/>
    </xf>
    <xf numFmtId="0" fontId="46" fillId="22" borderId="109" xfId="0" applyFont="1" applyFill="1" applyBorder="1" applyAlignment="1">
      <alignment horizontal="center"/>
    </xf>
    <xf numFmtId="3" fontId="46" fillId="22" borderId="111" xfId="0" applyNumberFormat="1" applyFont="1" applyFill="1" applyBorder="1" applyAlignment="1" applyProtection="1">
      <alignment horizontal="center"/>
      <protection locked="0"/>
    </xf>
    <xf numFmtId="3" fontId="46" fillId="22" borderId="110" xfId="0" applyNumberFormat="1" applyFont="1" applyFill="1" applyBorder="1"/>
    <xf numFmtId="3" fontId="46" fillId="22" borderId="103" xfId="0" applyNumberFormat="1" applyFont="1" applyFill="1" applyBorder="1"/>
    <xf numFmtId="3" fontId="46" fillId="22" borderId="111" xfId="0" applyNumberFormat="1" applyFont="1" applyFill="1" applyBorder="1"/>
    <xf numFmtId="0" fontId="47" fillId="22" borderId="0" xfId="0" applyFont="1" applyFill="1"/>
    <xf numFmtId="0" fontId="47" fillId="22" borderId="109" xfId="0" applyFont="1" applyFill="1" applyBorder="1"/>
    <xf numFmtId="169" fontId="46" fillId="22" borderId="108" xfId="1" applyNumberFormat="1" applyFont="1" applyFill="1" applyBorder="1"/>
    <xf numFmtId="0" fontId="46" fillId="22" borderId="108" xfId="0" applyFont="1" applyFill="1" applyBorder="1" applyAlignment="1">
      <alignment horizontal="right"/>
    </xf>
    <xf numFmtId="169" fontId="46" fillId="22" borderId="0" xfId="0" applyNumberFormat="1" applyFont="1" applyFill="1"/>
    <xf numFmtId="0" fontId="47" fillId="23" borderId="125" xfId="0" applyFont="1" applyFill="1" applyBorder="1" applyAlignment="1">
      <alignment horizontal="center"/>
    </xf>
    <xf numFmtId="169" fontId="47" fillId="23" borderId="134" xfId="0" applyNumberFormat="1" applyFont="1" applyFill="1" applyBorder="1"/>
    <xf numFmtId="0" fontId="47" fillId="23" borderId="132" xfId="0" applyFont="1" applyFill="1" applyBorder="1"/>
    <xf numFmtId="37" fontId="57" fillId="22" borderId="0" xfId="0" applyNumberFormat="1" applyFont="1" applyFill="1"/>
    <xf numFmtId="37" fontId="46" fillId="22" borderId="108" xfId="0" applyNumberFormat="1" applyFont="1" applyFill="1" applyBorder="1"/>
    <xf numFmtId="37" fontId="46" fillId="22" borderId="108" xfId="0" applyNumberFormat="1" applyFont="1" applyFill="1" applyBorder="1" applyProtection="1">
      <protection locked="0"/>
    </xf>
    <xf numFmtId="37" fontId="46" fillId="22" borderId="0" xfId="0" applyNumberFormat="1" applyFont="1" applyFill="1" applyProtection="1">
      <protection locked="0"/>
    </xf>
    <xf numFmtId="169" fontId="46" fillId="22" borderId="109" xfId="0" applyNumberFormat="1" applyFont="1" applyFill="1" applyBorder="1"/>
    <xf numFmtId="37" fontId="46" fillId="22" borderId="110" xfId="0" applyNumberFormat="1" applyFont="1" applyFill="1" applyBorder="1"/>
    <xf numFmtId="2" fontId="46" fillId="22" borderId="103" xfId="0" applyNumberFormat="1" applyFont="1" applyFill="1" applyBorder="1"/>
    <xf numFmtId="169" fontId="46" fillId="22" borderId="111" xfId="0" applyNumberFormat="1" applyFont="1" applyFill="1" applyBorder="1"/>
    <xf numFmtId="37" fontId="46" fillId="22" borderId="107" xfId="0" applyNumberFormat="1" applyFont="1" applyFill="1" applyBorder="1"/>
    <xf numFmtId="37" fontId="46" fillId="22" borderId="112" xfId="0" applyNumberFormat="1" applyFont="1" applyFill="1" applyBorder="1"/>
    <xf numFmtId="37" fontId="46" fillId="22" borderId="107" xfId="0" applyNumberFormat="1" applyFont="1" applyFill="1" applyBorder="1" applyProtection="1">
      <protection locked="0"/>
    </xf>
    <xf numFmtId="37" fontId="46" fillId="22" borderId="112" xfId="0" applyNumberFormat="1" applyFont="1" applyFill="1" applyBorder="1" applyProtection="1">
      <protection locked="0"/>
    </xf>
    <xf numFmtId="170" fontId="46" fillId="22" borderId="0" xfId="0" applyNumberFormat="1" applyFont="1" applyFill="1"/>
    <xf numFmtId="171" fontId="46" fillId="22" borderId="0" xfId="0" applyNumberFormat="1" applyFont="1" applyFill="1"/>
    <xf numFmtId="37" fontId="47" fillId="22" borderId="108" xfId="0" applyNumberFormat="1" applyFont="1" applyFill="1" applyBorder="1"/>
    <xf numFmtId="170" fontId="47" fillId="22" borderId="0" xfId="0" applyNumberFormat="1" applyFont="1" applyFill="1"/>
    <xf numFmtId="37" fontId="47" fillId="22" borderId="110" xfId="0" applyNumberFormat="1" applyFont="1" applyFill="1" applyBorder="1"/>
    <xf numFmtId="171" fontId="46" fillId="22" borderId="103" xfId="0" applyNumberFormat="1" applyFont="1" applyFill="1" applyBorder="1"/>
    <xf numFmtId="0" fontId="47" fillId="24" borderId="116" xfId="0" applyFont="1" applyFill="1" applyBorder="1"/>
    <xf numFmtId="37" fontId="47" fillId="24" borderId="116" xfId="0" applyNumberFormat="1" applyFont="1" applyFill="1" applyBorder="1"/>
    <xf numFmtId="37" fontId="47" fillId="24" borderId="117" xfId="0" applyNumberFormat="1" applyFont="1" applyFill="1" applyBorder="1"/>
    <xf numFmtId="37" fontId="47" fillId="24" borderId="118" xfId="0" applyNumberFormat="1" applyFont="1" applyFill="1" applyBorder="1"/>
    <xf numFmtId="0" fontId="47" fillId="24" borderId="110" xfId="0" applyFont="1" applyFill="1" applyBorder="1"/>
    <xf numFmtId="37" fontId="47" fillId="24" borderId="110" xfId="0" applyNumberFormat="1" applyFont="1" applyFill="1" applyBorder="1"/>
    <xf numFmtId="39" fontId="47" fillId="24" borderId="103" xfId="0" applyNumberFormat="1" applyFont="1" applyFill="1" applyBorder="1"/>
    <xf numFmtId="169" fontId="47" fillId="22" borderId="109" xfId="0" applyNumberFormat="1" applyFont="1" applyFill="1" applyBorder="1"/>
    <xf numFmtId="0" fontId="47" fillId="24" borderId="107" xfId="0" applyFont="1" applyFill="1" applyBorder="1"/>
    <xf numFmtId="37" fontId="46" fillId="22" borderId="135" xfId="0" applyNumberFormat="1" applyFont="1" applyFill="1" applyBorder="1"/>
    <xf numFmtId="0" fontId="46" fillId="24" borderId="108" xfId="0" applyFont="1" applyFill="1" applyBorder="1"/>
    <xf numFmtId="170" fontId="46" fillId="22" borderId="0" xfId="0" applyNumberFormat="1" applyFont="1" applyFill="1" applyProtection="1">
      <protection locked="0"/>
    </xf>
    <xf numFmtId="0" fontId="46" fillId="24" borderId="136" xfId="0" applyFont="1" applyFill="1" applyBorder="1"/>
    <xf numFmtId="170" fontId="46" fillId="22" borderId="112" xfId="0" applyNumberFormat="1" applyFont="1" applyFill="1" applyBorder="1"/>
    <xf numFmtId="170" fontId="46" fillId="22" borderId="112" xfId="0" applyNumberFormat="1" applyFont="1" applyFill="1" applyBorder="1" applyProtection="1">
      <protection locked="0"/>
    </xf>
    <xf numFmtId="170" fontId="46" fillId="22" borderId="103" xfId="0" applyNumberFormat="1" applyFont="1" applyFill="1" applyBorder="1"/>
    <xf numFmtId="37" fontId="47" fillId="24" borderId="107" xfId="0" applyNumberFormat="1" applyFont="1" applyFill="1" applyBorder="1"/>
    <xf numFmtId="170" fontId="47" fillId="24" borderId="112" xfId="0" applyNumberFormat="1" applyFont="1" applyFill="1" applyBorder="1"/>
    <xf numFmtId="37" fontId="47" fillId="24" borderId="113" xfId="0" applyNumberFormat="1" applyFont="1" applyFill="1" applyBorder="1"/>
    <xf numFmtId="37" fontId="47" fillId="23" borderId="117" xfId="0" applyNumberFormat="1" applyFont="1" applyFill="1" applyBorder="1"/>
    <xf numFmtId="169" fontId="47" fillId="23" borderId="121" xfId="0" applyNumberFormat="1" applyFont="1" applyFill="1" applyBorder="1"/>
    <xf numFmtId="169" fontId="47" fillId="24" borderId="109" xfId="0" applyNumberFormat="1" applyFont="1" applyFill="1" applyBorder="1"/>
    <xf numFmtId="0" fontId="50" fillId="22" borderId="107" xfId="0" applyFont="1" applyFill="1" applyBorder="1"/>
    <xf numFmtId="0" fontId="50" fillId="22" borderId="136" xfId="0" applyFont="1" applyFill="1" applyBorder="1"/>
    <xf numFmtId="0" fontId="47" fillId="23" borderId="137" xfId="0" applyFont="1" applyFill="1" applyBorder="1"/>
    <xf numFmtId="37" fontId="47" fillId="22" borderId="107" xfId="0" applyNumberFormat="1" applyFont="1" applyFill="1" applyBorder="1"/>
    <xf numFmtId="169" fontId="47" fillId="22" borderId="112" xfId="0" applyNumberFormat="1" applyFont="1" applyFill="1" applyBorder="1"/>
    <xf numFmtId="37" fontId="47" fillId="22" borderId="113" xfId="0" applyNumberFormat="1" applyFont="1" applyFill="1" applyBorder="1"/>
    <xf numFmtId="0" fontId="46" fillId="22" borderId="111" xfId="0" applyFont="1" applyFill="1" applyBorder="1"/>
    <xf numFmtId="37" fontId="46" fillId="22" borderId="114" xfId="0" applyNumberFormat="1" applyFont="1" applyFill="1" applyBorder="1"/>
    <xf numFmtId="169" fontId="46" fillId="22" borderId="53" xfId="0" applyNumberFormat="1" applyFont="1" applyFill="1" applyBorder="1"/>
    <xf numFmtId="37" fontId="46" fillId="22" borderId="114" xfId="0" applyNumberFormat="1" applyFont="1" applyFill="1" applyBorder="1" applyProtection="1">
      <protection locked="0"/>
    </xf>
    <xf numFmtId="169" fontId="47" fillId="23" borderId="117" xfId="0" applyNumberFormat="1" applyFont="1" applyFill="1" applyBorder="1"/>
    <xf numFmtId="0" fontId="47" fillId="23" borderId="138" xfId="0" applyFont="1" applyFill="1" applyBorder="1"/>
    <xf numFmtId="37" fontId="47" fillId="23" borderId="138" xfId="0" applyNumberFormat="1" applyFont="1" applyFill="1" applyBorder="1"/>
    <xf numFmtId="170" fontId="47" fillId="23" borderId="139" xfId="0" applyNumberFormat="1" applyFont="1" applyFill="1" applyBorder="1"/>
    <xf numFmtId="37" fontId="47" fillId="23" borderId="140" xfId="0" applyNumberFormat="1" applyFont="1" applyFill="1" applyBorder="1"/>
    <xf numFmtId="37" fontId="47" fillId="24" borderId="108" xfId="0" applyNumberFormat="1" applyFont="1" applyFill="1" applyBorder="1"/>
    <xf numFmtId="170" fontId="47" fillId="24" borderId="0" xfId="0" applyNumberFormat="1" applyFont="1" applyFill="1"/>
    <xf numFmtId="37" fontId="47" fillId="22" borderId="0" xfId="0" applyNumberFormat="1" applyFont="1" applyFill="1"/>
    <xf numFmtId="0" fontId="47" fillId="23" borderId="141" xfId="0" applyFont="1" applyFill="1" applyBorder="1"/>
    <xf numFmtId="0" fontId="46" fillId="23" borderId="141" xfId="0" applyFont="1" applyFill="1" applyBorder="1"/>
    <xf numFmtId="0" fontId="46" fillId="23" borderId="142" xfId="0" applyFont="1" applyFill="1" applyBorder="1"/>
    <xf numFmtId="37" fontId="47" fillId="23" borderId="143" xfId="0" applyNumberFormat="1" applyFont="1" applyFill="1" applyBorder="1"/>
    <xf numFmtId="0" fontId="62" fillId="22" borderId="1" xfId="0" applyFont="1" applyFill="1" applyBorder="1" applyAlignment="1">
      <alignment horizontal="center" vertical="center"/>
    </xf>
    <xf numFmtId="0" fontId="57" fillId="22" borderId="1" xfId="0" applyFont="1" applyFill="1" applyBorder="1" applyAlignment="1">
      <alignment horizontal="center"/>
    </xf>
    <xf numFmtId="0" fontId="57" fillId="22" borderId="120" xfId="0" applyFont="1" applyFill="1" applyBorder="1" applyAlignment="1">
      <alignment horizontal="center"/>
    </xf>
    <xf numFmtId="0" fontId="47" fillId="22" borderId="144" xfId="0" applyFont="1" applyFill="1" applyBorder="1" applyAlignment="1">
      <alignment horizontal="center"/>
    </xf>
    <xf numFmtId="0" fontId="46" fillId="22" borderId="145" xfId="0" applyFont="1" applyFill="1" applyBorder="1"/>
    <xf numFmtId="0" fontId="46" fillId="22" borderId="145" xfId="0" applyFont="1" applyFill="1" applyBorder="1" applyAlignment="1">
      <alignment horizontal="center"/>
    </xf>
    <xf numFmtId="0" fontId="46" fillId="22" borderId="103" xfId="0" applyFont="1" applyFill="1" applyBorder="1" applyAlignment="1">
      <alignment horizontal="center"/>
    </xf>
    <xf numFmtId="0" fontId="46" fillId="22" borderId="146" xfId="0" applyFont="1" applyFill="1" applyBorder="1" applyAlignment="1">
      <alignment horizontal="center"/>
    </xf>
    <xf numFmtId="0" fontId="50" fillId="22" borderId="145" xfId="0" applyFont="1" applyFill="1" applyBorder="1"/>
    <xf numFmtId="37" fontId="50" fillId="22" borderId="145" xfId="0" applyNumberFormat="1" applyFont="1" applyFill="1" applyBorder="1"/>
    <xf numFmtId="37" fontId="50" fillId="22" borderId="103" xfId="0" applyNumberFormat="1" applyFont="1" applyFill="1" applyBorder="1"/>
    <xf numFmtId="37" fontId="50" fillId="22" borderId="146" xfId="0" applyNumberFormat="1" applyFont="1" applyFill="1" applyBorder="1"/>
    <xf numFmtId="0" fontId="62" fillId="23" borderId="145" xfId="0" applyFont="1" applyFill="1" applyBorder="1"/>
    <xf numFmtId="37" fontId="62" fillId="23" borderId="145" xfId="0" applyNumberFormat="1" applyFont="1" applyFill="1" applyBorder="1"/>
    <xf numFmtId="37" fontId="62" fillId="23" borderId="103" xfId="0" applyNumberFormat="1" applyFont="1" applyFill="1" applyBorder="1"/>
    <xf numFmtId="37" fontId="62" fillId="23" borderId="146" xfId="0" applyNumberFormat="1" applyFont="1" applyFill="1" applyBorder="1"/>
    <xf numFmtId="0" fontId="62" fillId="22" borderId="70" xfId="0" applyFont="1" applyFill="1" applyBorder="1"/>
    <xf numFmtId="37" fontId="50" fillId="22" borderId="70" xfId="0" applyNumberFormat="1" applyFont="1" applyFill="1" applyBorder="1"/>
    <xf numFmtId="0" fontId="50" fillId="22" borderId="1" xfId="0" applyFont="1" applyFill="1" applyBorder="1"/>
    <xf numFmtId="37" fontId="50" fillId="22" borderId="55" xfId="0" applyNumberFormat="1" applyFont="1" applyFill="1" applyBorder="1"/>
    <xf numFmtId="0" fontId="50" fillId="22" borderId="70" xfId="0" applyFont="1" applyFill="1" applyBorder="1"/>
    <xf numFmtId="169" fontId="50" fillId="22" borderId="70" xfId="1" applyNumberFormat="1" applyFont="1" applyFill="1" applyBorder="1"/>
    <xf numFmtId="170" fontId="50" fillId="22" borderId="1" xfId="0" applyNumberFormat="1" applyFont="1" applyFill="1" applyBorder="1"/>
    <xf numFmtId="169" fontId="50" fillId="22" borderId="145" xfId="1" applyNumberFormat="1" applyFont="1" applyFill="1" applyBorder="1"/>
    <xf numFmtId="170" fontId="50" fillId="22" borderId="103" xfId="0" applyNumberFormat="1" applyFont="1" applyFill="1" applyBorder="1"/>
    <xf numFmtId="0" fontId="46" fillId="22" borderId="70" xfId="0" applyFont="1" applyFill="1" applyBorder="1"/>
    <xf numFmtId="0" fontId="62" fillId="23" borderId="147" xfId="0" applyFont="1" applyFill="1" applyBorder="1"/>
    <xf numFmtId="169" fontId="62" fillId="23" borderId="147" xfId="0" applyNumberFormat="1" applyFont="1" applyFill="1" applyBorder="1"/>
    <xf numFmtId="0" fontId="62" fillId="23" borderId="123" xfId="0" applyFont="1" applyFill="1" applyBorder="1"/>
    <xf numFmtId="37" fontId="62" fillId="23" borderId="148" xfId="0" applyNumberFormat="1" applyFont="1" applyFill="1" applyBorder="1"/>
    <xf numFmtId="37" fontId="50" fillId="22" borderId="55" xfId="0" applyNumberFormat="1" applyFont="1" applyFill="1" applyBorder="1" applyProtection="1">
      <protection locked="0"/>
    </xf>
    <xf numFmtId="0" fontId="50" fillId="24" borderId="70" xfId="0" applyFont="1" applyFill="1" applyBorder="1"/>
    <xf numFmtId="170" fontId="62" fillId="23" borderId="123" xfId="0" applyNumberFormat="1" applyFont="1" applyFill="1" applyBorder="1"/>
    <xf numFmtId="0" fontId="50" fillId="22" borderId="149" xfId="0" applyFont="1" applyFill="1" applyBorder="1"/>
    <xf numFmtId="170" fontId="50" fillId="22" borderId="112" xfId="0" applyNumberFormat="1" applyFont="1" applyFill="1" applyBorder="1"/>
    <xf numFmtId="37" fontId="50" fillId="22" borderId="150" xfId="0" applyNumberFormat="1" applyFont="1" applyFill="1" applyBorder="1"/>
    <xf numFmtId="37" fontId="50" fillId="22" borderId="146" xfId="0" applyNumberFormat="1" applyFont="1" applyFill="1" applyBorder="1" applyProtection="1">
      <protection locked="0"/>
    </xf>
    <xf numFmtId="0" fontId="50" fillId="22" borderId="55" xfId="0" applyFont="1" applyFill="1" applyBorder="1"/>
    <xf numFmtId="169" fontId="62" fillId="22" borderId="149" xfId="0" applyNumberFormat="1" applyFont="1" applyFill="1" applyBorder="1"/>
    <xf numFmtId="0" fontId="62" fillId="22" borderId="112" xfId="0" applyFont="1" applyFill="1" applyBorder="1"/>
    <xf numFmtId="37" fontId="50" fillId="24" borderId="150" xfId="0" applyNumberFormat="1" applyFont="1" applyFill="1" applyBorder="1"/>
    <xf numFmtId="169" fontId="62" fillId="22" borderId="70" xfId="0" applyNumberFormat="1" applyFont="1" applyFill="1" applyBorder="1"/>
    <xf numFmtId="0" fontId="62" fillId="22" borderId="1" xfId="0" applyFont="1" applyFill="1" applyBorder="1"/>
    <xf numFmtId="169" fontId="62" fillId="22" borderId="145" xfId="0" applyNumberFormat="1" applyFont="1" applyFill="1" applyBorder="1"/>
    <xf numFmtId="0" fontId="50" fillId="23" borderId="123" xfId="0" applyFont="1" applyFill="1" applyBorder="1"/>
    <xf numFmtId="0" fontId="62" fillId="24" borderId="149" xfId="0" applyFont="1" applyFill="1" applyBorder="1"/>
    <xf numFmtId="0" fontId="50" fillId="24" borderId="112" xfId="0" applyFont="1" applyFill="1" applyBorder="1"/>
    <xf numFmtId="0" fontId="62" fillId="23" borderId="151" xfId="0" applyFont="1" applyFill="1" applyBorder="1"/>
    <xf numFmtId="0" fontId="62" fillId="23" borderId="151" xfId="0" applyFont="1" applyFill="1" applyBorder="1" applyAlignment="1">
      <alignment horizontal="center"/>
    </xf>
    <xf numFmtId="169" fontId="62" fillId="23" borderId="152" xfId="0" applyNumberFormat="1" applyFont="1" applyFill="1" applyBorder="1"/>
    <xf numFmtId="37" fontId="62" fillId="23" borderId="153" xfId="0" applyNumberFormat="1" applyFont="1" applyFill="1" applyBorder="1"/>
    <xf numFmtId="0" fontId="62" fillId="23" borderId="154" xfId="0" applyFont="1" applyFill="1" applyBorder="1" applyAlignment="1">
      <alignment horizontal="center"/>
    </xf>
    <xf numFmtId="169" fontId="62" fillId="23" borderId="142" xfId="0" applyNumberFormat="1" applyFont="1" applyFill="1" applyBorder="1"/>
    <xf numFmtId="37" fontId="62" fillId="23" borderId="155" xfId="0" applyNumberFormat="1" applyFont="1" applyFill="1" applyBorder="1"/>
    <xf numFmtId="39" fontId="50" fillId="22" borderId="0" xfId="0" applyNumberFormat="1" applyFont="1" applyFill="1"/>
    <xf numFmtId="0" fontId="62" fillId="23" borderId="156" xfId="0" applyFont="1" applyFill="1" applyBorder="1"/>
    <xf numFmtId="0" fontId="62" fillId="23" borderId="158" xfId="0" applyFont="1" applyFill="1" applyBorder="1" applyAlignment="1">
      <alignment horizontal="center"/>
    </xf>
    <xf numFmtId="169" fontId="62" fillId="23" borderId="157" xfId="0" applyNumberFormat="1" applyFont="1" applyFill="1" applyBorder="1"/>
    <xf numFmtId="37" fontId="62" fillId="23" borderId="159" xfId="0" applyNumberFormat="1" applyFont="1" applyFill="1" applyBorder="1"/>
    <xf numFmtId="0" fontId="61" fillId="22" borderId="160" xfId="0" applyFont="1" applyFill="1" applyBorder="1"/>
    <xf numFmtId="0" fontId="61" fillId="22" borderId="70" xfId="0" applyFont="1" applyFill="1" applyBorder="1"/>
    <xf numFmtId="0" fontId="61" fillId="22" borderId="1" xfId="0" applyFont="1" applyFill="1" applyBorder="1"/>
    <xf numFmtId="0" fontId="61" fillId="22" borderId="55" xfId="0" applyFont="1" applyFill="1" applyBorder="1"/>
    <xf numFmtId="0" fontId="50" fillId="22" borderId="160" xfId="0" applyFont="1" applyFill="1" applyBorder="1"/>
    <xf numFmtId="0" fontId="57" fillId="22" borderId="70" xfId="0" applyFont="1" applyFill="1" applyBorder="1"/>
    <xf numFmtId="0" fontId="46" fillId="22" borderId="1" xfId="0" applyFont="1" applyFill="1" applyBorder="1"/>
    <xf numFmtId="0" fontId="47" fillId="22" borderId="70" xfId="0" applyFont="1" applyFill="1" applyBorder="1"/>
    <xf numFmtId="0" fontId="47" fillId="22" borderId="1" xfId="0" applyFont="1" applyFill="1" applyBorder="1"/>
    <xf numFmtId="0" fontId="46" fillId="22" borderId="160" xfId="0" applyFont="1" applyFill="1" applyBorder="1"/>
    <xf numFmtId="0" fontId="46" fillId="22" borderId="162" xfId="0" applyFont="1" applyFill="1" applyBorder="1"/>
    <xf numFmtId="0" fontId="62" fillId="23" borderId="163" xfId="0" applyFont="1" applyFill="1" applyBorder="1"/>
    <xf numFmtId="0" fontId="62" fillId="23" borderId="165" xfId="0" applyFont="1" applyFill="1" applyBorder="1" applyAlignment="1">
      <alignment horizontal="center"/>
    </xf>
    <xf numFmtId="169" fontId="62" fillId="23" borderId="164" xfId="0" applyNumberFormat="1" applyFont="1" applyFill="1" applyBorder="1"/>
    <xf numFmtId="37" fontId="62" fillId="23" borderId="166" xfId="0" applyNumberFormat="1" applyFont="1" applyFill="1" applyBorder="1"/>
    <xf numFmtId="167" fontId="62" fillId="23" borderId="123" xfId="5" applyNumberFormat="1" applyFont="1" applyFill="1" applyBorder="1"/>
    <xf numFmtId="0" fontId="62" fillId="23" borderId="157" xfId="0" applyFont="1" applyFill="1" applyBorder="1" applyAlignment="1">
      <alignment horizontal="center"/>
    </xf>
    <xf numFmtId="37" fontId="62" fillId="23" borderId="157" xfId="0" applyNumberFormat="1" applyFont="1" applyFill="1" applyBorder="1"/>
    <xf numFmtId="37" fontId="50" fillId="22" borderId="1" xfId="0" applyNumberFormat="1" applyFont="1" applyFill="1" applyBorder="1"/>
    <xf numFmtId="0" fontId="57" fillId="22" borderId="1" xfId="0" applyFont="1" applyFill="1" applyBorder="1"/>
    <xf numFmtId="0" fontId="62" fillId="23" borderId="164" xfId="0" applyFont="1" applyFill="1" applyBorder="1" applyAlignment="1">
      <alignment horizontal="center"/>
    </xf>
    <xf numFmtId="37" fontId="62" fillId="23" borderId="164" xfId="0" applyNumberFormat="1" applyFont="1" applyFill="1" applyBorder="1"/>
    <xf numFmtId="49" fontId="76" fillId="13" borderId="1" xfId="6" applyNumberFormat="1" applyFont="1" applyFill="1" applyAlignment="1">
      <alignment horizontal="left" vertical="center"/>
    </xf>
    <xf numFmtId="174" fontId="76" fillId="13" borderId="1" xfId="6" applyNumberFormat="1" applyFont="1" applyFill="1" applyAlignment="1">
      <alignment horizontal="right" vertical="center"/>
    </xf>
    <xf numFmtId="49" fontId="7" fillId="13" borderId="1" xfId="6" applyNumberFormat="1" applyFill="1" applyAlignment="1">
      <alignment horizontal="left" vertical="center"/>
    </xf>
    <xf numFmtId="174" fontId="7" fillId="13" borderId="1" xfId="6" applyNumberFormat="1" applyFill="1" applyAlignment="1">
      <alignment horizontal="right" vertical="center"/>
    </xf>
    <xf numFmtId="0" fontId="7" fillId="13" borderId="1" xfId="6" applyFill="1"/>
    <xf numFmtId="0" fontId="0" fillId="13" borderId="0" xfId="0" applyFont="1" applyFill="1" applyAlignment="1"/>
    <xf numFmtId="49" fontId="43" fillId="10" borderId="47" xfId="0" applyNumberFormat="1" applyFont="1" applyFill="1" applyBorder="1" applyAlignment="1">
      <alignment horizontal="left" vertical="top"/>
    </xf>
    <xf numFmtId="49" fontId="43" fillId="10" borderId="44" xfId="0" applyNumberFormat="1" applyFont="1" applyFill="1" applyBorder="1" applyAlignment="1">
      <alignment horizontal="left" vertical="top"/>
    </xf>
    <xf numFmtId="1" fontId="43" fillId="14" borderId="47" xfId="0" applyNumberFormat="1" applyFont="1" applyFill="1" applyBorder="1" applyAlignment="1">
      <alignment horizontal="left" vertical="top"/>
    </xf>
    <xf numFmtId="49" fontId="43" fillId="10" borderId="1" xfId="0" applyNumberFormat="1" applyFont="1" applyFill="1" applyBorder="1" applyAlignment="1">
      <alignment horizontal="left" vertical="top"/>
    </xf>
    <xf numFmtId="0" fontId="43" fillId="10" borderId="45" xfId="0" applyFont="1" applyFill="1" applyBorder="1" applyAlignment="1">
      <alignment horizontal="left" vertical="top"/>
    </xf>
    <xf numFmtId="0" fontId="42" fillId="10" borderId="0" xfId="0" applyFont="1" applyFill="1" applyAlignment="1">
      <alignment horizontal="left" vertical="top"/>
    </xf>
    <xf numFmtId="0" fontId="40" fillId="25" borderId="0" xfId="0" applyFont="1" applyFill="1" applyAlignment="1">
      <alignment horizontal="left" vertical="top"/>
    </xf>
    <xf numFmtId="0" fontId="42" fillId="10" borderId="44" xfId="0" applyFont="1" applyFill="1" applyBorder="1" applyAlignment="1">
      <alignment horizontal="left" vertical="top"/>
    </xf>
    <xf numFmtId="0" fontId="42" fillId="10" borderId="1" xfId="0" applyFont="1" applyFill="1" applyBorder="1" applyAlignment="1">
      <alignment horizontal="left" vertical="top"/>
    </xf>
    <xf numFmtId="0" fontId="42" fillId="10" borderId="48" xfId="0" applyFont="1" applyFill="1" applyBorder="1" applyAlignment="1">
      <alignment horizontal="left" vertical="top"/>
    </xf>
    <xf numFmtId="0" fontId="42" fillId="10" borderId="46" xfId="0" applyFont="1" applyFill="1" applyBorder="1" applyAlignment="1">
      <alignment horizontal="left" vertical="top"/>
    </xf>
    <xf numFmtId="39" fontId="42" fillId="10" borderId="46" xfId="0" applyNumberFormat="1" applyFont="1" applyFill="1" applyBorder="1" applyAlignment="1">
      <alignment horizontal="left" vertical="top"/>
    </xf>
    <xf numFmtId="0" fontId="43" fillId="10" borderId="44" xfId="0" applyFont="1" applyFill="1" applyBorder="1" applyAlignment="1">
      <alignment horizontal="left" vertical="top"/>
    </xf>
    <xf numFmtId="0" fontId="44" fillId="10" borderId="47" xfId="0" applyFont="1" applyFill="1" applyBorder="1" applyAlignment="1">
      <alignment horizontal="left" vertical="top"/>
    </xf>
    <xf numFmtId="0" fontId="43" fillId="10" borderId="0" xfId="0" applyFont="1" applyFill="1" applyAlignment="1">
      <alignment horizontal="left" vertical="top"/>
    </xf>
    <xf numFmtId="0" fontId="10" fillId="0" borderId="0" xfId="0" applyFont="1" applyFill="1"/>
    <xf numFmtId="0" fontId="10" fillId="0" borderId="0" xfId="0" applyFont="1" applyFill="1" applyAlignment="1">
      <alignment horizontal="center"/>
    </xf>
    <xf numFmtId="165" fontId="11" fillId="0" borderId="1" xfId="0" applyNumberFormat="1" applyFont="1" applyFill="1" applyBorder="1" applyAlignment="1">
      <alignment horizontal="center"/>
    </xf>
    <xf numFmtId="0" fontId="0" fillId="0" borderId="0" xfId="0"/>
    <xf numFmtId="0" fontId="6" fillId="13" borderId="1" xfId="7" applyFill="1"/>
    <xf numFmtId="174" fontId="6" fillId="13" borderId="1" xfId="7" applyNumberFormat="1" applyFill="1" applyAlignment="1">
      <alignment horizontal="right" vertical="center"/>
    </xf>
    <xf numFmtId="49" fontId="11" fillId="13" borderId="1" xfId="0" applyNumberFormat="1" applyFont="1" applyFill="1" applyBorder="1" applyAlignment="1">
      <alignment horizontal="left" vertical="center"/>
    </xf>
    <xf numFmtId="0" fontId="11" fillId="13" borderId="1" xfId="0" applyFont="1" applyFill="1" applyBorder="1" applyAlignment="1">
      <alignment horizontal="left" vertical="top"/>
    </xf>
    <xf numFmtId="0" fontId="11" fillId="13" borderId="1" xfId="0" applyFont="1" applyFill="1" applyBorder="1"/>
    <xf numFmtId="172" fontId="11" fillId="13" borderId="1" xfId="0" applyNumberFormat="1" applyFont="1" applyFill="1" applyBorder="1" applyAlignment="1">
      <alignment horizontal="right" vertical="center"/>
    </xf>
    <xf numFmtId="169" fontId="21" fillId="0" borderId="12" xfId="1" applyNumberFormat="1" applyFont="1" applyBorder="1"/>
    <xf numFmtId="169" fontId="21" fillId="0" borderId="13" xfId="1" applyNumberFormat="1" applyFont="1" applyBorder="1"/>
    <xf numFmtId="3" fontId="20" fillId="0" borderId="0" xfId="0" applyNumberFormat="1" applyFont="1" applyFill="1"/>
    <xf numFmtId="3" fontId="21" fillId="0" borderId="0" xfId="0" applyNumberFormat="1" applyFont="1" applyFill="1"/>
    <xf numFmtId="167" fontId="21" fillId="0" borderId="15" xfId="5" applyNumberFormat="1" applyFont="1" applyBorder="1"/>
    <xf numFmtId="6" fontId="21" fillId="0" borderId="0" xfId="0" applyNumberFormat="1" applyFont="1" applyFill="1"/>
    <xf numFmtId="10" fontId="0" fillId="0" borderId="0" xfId="0" applyNumberFormat="1"/>
    <xf numFmtId="0" fontId="77" fillId="0" borderId="0" xfId="0" applyFont="1"/>
    <xf numFmtId="10" fontId="77" fillId="0" borderId="0" xfId="0" applyNumberFormat="1" applyFont="1"/>
    <xf numFmtId="3" fontId="46" fillId="0" borderId="15" xfId="0" applyNumberFormat="1" applyFont="1" applyFill="1" applyBorder="1"/>
    <xf numFmtId="169" fontId="22" fillId="0" borderId="1" xfId="0" applyNumberFormat="1" applyFont="1" applyFill="1" applyBorder="1"/>
    <xf numFmtId="0" fontId="22" fillId="0" borderId="88" xfId="0" applyFont="1" applyBorder="1" applyAlignment="1">
      <alignment horizontal="center" vertical="center"/>
    </xf>
    <xf numFmtId="0" fontId="73" fillId="27" borderId="170" xfId="3" applyFont="1" applyFill="1" applyBorder="1" applyAlignment="1">
      <alignment horizontal="center"/>
    </xf>
    <xf numFmtId="0" fontId="73" fillId="27" borderId="177" xfId="3" applyFont="1" applyFill="1" applyBorder="1" applyAlignment="1">
      <alignment horizontal="center"/>
    </xf>
    <xf numFmtId="0" fontId="73" fillId="27" borderId="127" xfId="3" applyFont="1" applyFill="1" applyBorder="1" applyAlignment="1">
      <alignment horizontal="center"/>
    </xf>
    <xf numFmtId="0" fontId="73" fillId="27" borderId="178" xfId="3" applyFont="1" applyFill="1" applyBorder="1" applyAlignment="1">
      <alignment horizontal="center"/>
    </xf>
    <xf numFmtId="0" fontId="73" fillId="27" borderId="171" xfId="3" applyFont="1" applyFill="1" applyBorder="1" applyAlignment="1">
      <alignment horizontal="center"/>
    </xf>
    <xf numFmtId="0" fontId="8" fillId="0" borderId="172" xfId="3" applyBorder="1" applyAlignment="1">
      <alignment horizontal="left"/>
    </xf>
    <xf numFmtId="165" fontId="8" fillId="0" borderId="200" xfId="3" applyNumberFormat="1" applyBorder="1" applyAlignment="1">
      <alignment horizontal="center"/>
    </xf>
    <xf numFmtId="165" fontId="8" fillId="0" borderId="184" xfId="3" applyNumberFormat="1" applyBorder="1" applyAlignment="1">
      <alignment horizontal="center"/>
    </xf>
    <xf numFmtId="165" fontId="8" fillId="0" borderId="201" xfId="3" applyNumberFormat="1" applyBorder="1" applyAlignment="1">
      <alignment horizontal="center"/>
    </xf>
    <xf numFmtId="2" fontId="8" fillId="0" borderId="161" xfId="3" applyNumberFormat="1" applyBorder="1" applyAlignment="1">
      <alignment horizontal="center"/>
    </xf>
    <xf numFmtId="2" fontId="8" fillId="0" borderId="181" xfId="3" applyNumberFormat="1" applyBorder="1" applyAlignment="1">
      <alignment horizontal="center"/>
    </xf>
    <xf numFmtId="2" fontId="8" fillId="0" borderId="173" xfId="3" applyNumberFormat="1" applyBorder="1" applyAlignment="1">
      <alignment horizontal="center"/>
    </xf>
    <xf numFmtId="165" fontId="8" fillId="0" borderId="161" xfId="3" applyNumberFormat="1" applyBorder="1" applyAlignment="1">
      <alignment horizontal="center"/>
    </xf>
    <xf numFmtId="165" fontId="8" fillId="0" borderId="181" xfId="3" applyNumberFormat="1" applyBorder="1" applyAlignment="1">
      <alignment horizontal="center"/>
    </xf>
    <xf numFmtId="165" fontId="8" fillId="0" borderId="173" xfId="3" applyNumberFormat="1" applyBorder="1" applyAlignment="1">
      <alignment horizontal="center"/>
    </xf>
    <xf numFmtId="0" fontId="8" fillId="0" borderId="174" xfId="3" applyBorder="1" applyAlignment="1">
      <alignment horizontal="left"/>
    </xf>
    <xf numFmtId="2" fontId="8" fillId="0" borderId="175" xfId="3" applyNumberFormat="1" applyBorder="1" applyAlignment="1">
      <alignment horizontal="center"/>
    </xf>
    <xf numFmtId="2" fontId="8" fillId="0" borderId="187" xfId="3" applyNumberFormat="1" applyBorder="1" applyAlignment="1">
      <alignment horizontal="center"/>
    </xf>
    <xf numFmtId="2" fontId="8" fillId="0" borderId="176" xfId="3" applyNumberFormat="1" applyBorder="1" applyAlignment="1">
      <alignment horizontal="center"/>
    </xf>
    <xf numFmtId="0" fontId="73" fillId="0" borderId="1" xfId="3" applyFont="1"/>
    <xf numFmtId="0" fontId="11" fillId="10" borderId="0" xfId="0" applyFont="1" applyFill="1" applyAlignment="1">
      <alignment horizontal="center"/>
    </xf>
    <xf numFmtId="0" fontId="11" fillId="10" borderId="0" xfId="0" applyFont="1" applyFill="1"/>
    <xf numFmtId="0" fontId="11" fillId="10" borderId="0" xfId="0" applyNumberFormat="1" applyFont="1" applyFill="1" applyAlignment="1">
      <alignment horizontal="center"/>
    </xf>
    <xf numFmtId="0" fontId="45" fillId="10" borderId="0" xfId="0" applyFont="1" applyFill="1" applyAlignment="1">
      <alignment horizontal="center"/>
    </xf>
    <xf numFmtId="0" fontId="45" fillId="25" borderId="0" xfId="0" applyFont="1" applyFill="1" applyAlignment="1">
      <alignment horizontal="center"/>
    </xf>
    <xf numFmtId="49" fontId="5" fillId="13" borderId="1" xfId="8" applyNumberFormat="1" applyFill="1" applyAlignment="1">
      <alignment horizontal="left" vertical="center"/>
    </xf>
    <xf numFmtId="0" fontId="5" fillId="13" borderId="1" xfId="8" applyFill="1"/>
    <xf numFmtId="174" fontId="5" fillId="13" borderId="1" xfId="8" applyNumberFormat="1" applyFill="1" applyAlignment="1">
      <alignment horizontal="right" vertical="center"/>
    </xf>
    <xf numFmtId="49" fontId="11" fillId="5" borderId="47" xfId="0" applyNumberFormat="1" applyFont="1" applyFill="1" applyBorder="1" applyAlignment="1">
      <alignment horizontal="left" vertical="center"/>
    </xf>
    <xf numFmtId="1" fontId="43" fillId="10" borderId="1" xfId="0" applyNumberFormat="1" applyFont="1" applyFill="1" applyBorder="1" applyAlignment="1">
      <alignment horizontal="left" vertical="top"/>
    </xf>
    <xf numFmtId="49" fontId="42" fillId="10" borderId="1" xfId="0" applyNumberFormat="1" applyFont="1" applyFill="1" applyBorder="1" applyAlignment="1">
      <alignment horizontal="left" vertical="top"/>
    </xf>
    <xf numFmtId="49" fontId="43" fillId="13" borderId="47" xfId="0" applyNumberFormat="1" applyFont="1" applyFill="1" applyBorder="1" applyAlignment="1">
      <alignment horizontal="left" vertical="top"/>
    </xf>
    <xf numFmtId="49" fontId="43" fillId="10" borderId="202" xfId="0" applyNumberFormat="1" applyFont="1" applyFill="1" applyBorder="1" applyAlignment="1">
      <alignment horizontal="left" vertical="top"/>
    </xf>
    <xf numFmtId="0" fontId="42" fillId="10" borderId="202" xfId="0" applyFont="1" applyFill="1" applyBorder="1" applyAlignment="1">
      <alignment horizontal="left" vertical="top"/>
    </xf>
    <xf numFmtId="0" fontId="42" fillId="10" borderId="43" xfId="0" applyFont="1" applyFill="1" applyBorder="1" applyAlignment="1">
      <alignment horizontal="left" vertical="top"/>
    </xf>
    <xf numFmtId="1" fontId="43" fillId="10" borderId="202" xfId="0" applyNumberFormat="1" applyFont="1" applyFill="1" applyBorder="1" applyAlignment="1">
      <alignment horizontal="left" vertical="top"/>
    </xf>
    <xf numFmtId="49" fontId="42" fillId="10" borderId="203" xfId="0" applyNumberFormat="1" applyFont="1" applyFill="1" applyBorder="1" applyAlignment="1">
      <alignment horizontal="left" vertical="top"/>
    </xf>
    <xf numFmtId="0" fontId="42" fillId="10" borderId="203" xfId="0" applyFont="1" applyFill="1" applyBorder="1" applyAlignment="1">
      <alignment horizontal="left" vertical="top"/>
    </xf>
    <xf numFmtId="49" fontId="42" fillId="10" borderId="202" xfId="0" applyNumberFormat="1" applyFont="1" applyFill="1" applyBorder="1" applyAlignment="1">
      <alignment horizontal="left" vertical="top"/>
    </xf>
    <xf numFmtId="49" fontId="42" fillId="10" borderId="204" xfId="0" applyNumberFormat="1" applyFont="1" applyFill="1" applyBorder="1" applyAlignment="1">
      <alignment horizontal="left" vertical="top"/>
    </xf>
    <xf numFmtId="0" fontId="43" fillId="10" borderId="202" xfId="0" applyFont="1" applyFill="1" applyBorder="1" applyAlignment="1">
      <alignment horizontal="left" vertical="top"/>
    </xf>
    <xf numFmtId="39" fontId="42" fillId="10" borderId="204" xfId="0" applyNumberFormat="1" applyFont="1" applyFill="1" applyBorder="1" applyAlignment="1">
      <alignment horizontal="left" vertical="top"/>
    </xf>
    <xf numFmtId="39" fontId="42" fillId="10" borderId="202" xfId="0" applyNumberFormat="1" applyFont="1" applyFill="1" applyBorder="1" applyAlignment="1">
      <alignment horizontal="left" vertical="top"/>
    </xf>
    <xf numFmtId="0" fontId="42" fillId="10" borderId="204" xfId="0" applyFont="1" applyFill="1" applyBorder="1" applyAlignment="1">
      <alignment horizontal="left" vertical="top"/>
    </xf>
    <xf numFmtId="0" fontId="44" fillId="8" borderId="47" xfId="0" applyFont="1" applyFill="1" applyBorder="1" applyAlignment="1">
      <alignment horizontal="left" vertical="top"/>
    </xf>
    <xf numFmtId="37" fontId="78" fillId="0" borderId="0" xfId="0" applyNumberFormat="1" applyFont="1"/>
    <xf numFmtId="37" fontId="24" fillId="0" borderId="32" xfId="0" applyNumberFormat="1" applyFont="1" applyFill="1" applyBorder="1"/>
    <xf numFmtId="4" fontId="5" fillId="13" borderId="1" xfId="8" applyNumberFormat="1" applyFill="1"/>
    <xf numFmtId="0" fontId="47" fillId="22" borderId="104" xfId="0" applyFont="1" applyFill="1" applyBorder="1"/>
    <xf numFmtId="0" fontId="47" fillId="22" borderId="105" xfId="0" applyFont="1" applyFill="1" applyBorder="1"/>
    <xf numFmtId="0" fontId="47" fillId="22" borderId="106" xfId="0" applyFont="1" applyFill="1" applyBorder="1"/>
    <xf numFmtId="3" fontId="21" fillId="0" borderId="12" xfId="0" applyNumberFormat="1" applyFont="1" applyFill="1" applyBorder="1"/>
    <xf numFmtId="3" fontId="48" fillId="0" borderId="13" xfId="0" applyNumberFormat="1" applyFont="1" applyFill="1" applyBorder="1"/>
    <xf numFmtId="165" fontId="4" fillId="0" borderId="180" xfId="3" applyNumberFormat="1" applyFont="1" applyBorder="1" applyAlignment="1">
      <alignment horizontal="center"/>
    </xf>
    <xf numFmtId="165" fontId="4" fillId="0" borderId="161" xfId="3" applyNumberFormat="1" applyFont="1" applyBorder="1" applyAlignment="1">
      <alignment horizontal="center"/>
    </xf>
    <xf numFmtId="165" fontId="4" fillId="0" borderId="181" xfId="3" applyNumberFormat="1" applyFont="1" applyBorder="1" applyAlignment="1">
      <alignment horizontal="center"/>
    </xf>
    <xf numFmtId="165" fontId="4" fillId="0" borderId="173" xfId="3" applyNumberFormat="1" applyFont="1" applyBorder="1" applyAlignment="1">
      <alignment horizontal="center"/>
    </xf>
    <xf numFmtId="9" fontId="4" fillId="0" borderId="180" xfId="4" applyFont="1" applyBorder="1" applyAlignment="1">
      <alignment horizontal="center"/>
    </xf>
    <xf numFmtId="9" fontId="4" fillId="0" borderId="181" xfId="4" applyFont="1" applyBorder="1" applyAlignment="1">
      <alignment horizontal="center"/>
    </xf>
    <xf numFmtId="9" fontId="4" fillId="0" borderId="182" xfId="4" applyFont="1" applyBorder="1" applyAlignment="1">
      <alignment horizontal="center"/>
    </xf>
    <xf numFmtId="9" fontId="4" fillId="0" borderId="180" xfId="4" applyFont="1" applyFill="1" applyBorder="1" applyAlignment="1">
      <alignment horizontal="center"/>
    </xf>
    <xf numFmtId="2" fontId="4" fillId="0" borderId="161" xfId="4" applyNumberFormat="1" applyFont="1" applyBorder="1" applyAlignment="1">
      <alignment horizontal="center"/>
    </xf>
    <xf numFmtId="2" fontId="4" fillId="0" borderId="181" xfId="4" applyNumberFormat="1" applyFont="1" applyBorder="1" applyAlignment="1">
      <alignment horizontal="center"/>
    </xf>
    <xf numFmtId="2" fontId="4" fillId="0" borderId="173" xfId="4" applyNumberFormat="1" applyFont="1" applyBorder="1" applyAlignment="1">
      <alignment horizontal="center"/>
    </xf>
    <xf numFmtId="9" fontId="4" fillId="0" borderId="161" xfId="4" applyFont="1" applyBorder="1" applyAlignment="1">
      <alignment horizontal="center"/>
    </xf>
    <xf numFmtId="9" fontId="4" fillId="0" borderId="173" xfId="4" applyFont="1" applyBorder="1" applyAlignment="1">
      <alignment horizontal="center"/>
    </xf>
    <xf numFmtId="0" fontId="4" fillId="0" borderId="190" xfId="3" applyFont="1" applyBorder="1"/>
    <xf numFmtId="165" fontId="4" fillId="0" borderId="193" xfId="3" applyNumberFormat="1" applyFont="1" applyBorder="1" applyAlignment="1">
      <alignment horizontal="center"/>
    </xf>
    <xf numFmtId="165" fontId="4" fillId="0" borderId="191" xfId="3" applyNumberFormat="1" applyFont="1" applyBorder="1" applyAlignment="1">
      <alignment horizontal="center"/>
    </xf>
    <xf numFmtId="165" fontId="4" fillId="0" borderId="194" xfId="3" applyNumberFormat="1" applyFont="1" applyBorder="1" applyAlignment="1">
      <alignment horizontal="center"/>
    </xf>
    <xf numFmtId="9" fontId="4" fillId="0" borderId="190" xfId="4" applyFont="1" applyBorder="1" applyAlignment="1">
      <alignment horizontal="center"/>
    </xf>
    <xf numFmtId="9" fontId="4" fillId="0" borderId="191" xfId="4" applyFont="1" applyBorder="1" applyAlignment="1">
      <alignment horizontal="center"/>
    </xf>
    <xf numFmtId="9" fontId="4" fillId="0" borderId="192" xfId="4" applyFont="1" applyBorder="1" applyAlignment="1">
      <alignment horizontal="center"/>
    </xf>
    <xf numFmtId="0" fontId="4" fillId="13" borderId="180" xfId="3" applyFont="1" applyFill="1" applyBorder="1" applyAlignment="1">
      <alignment horizontal="center"/>
    </xf>
    <xf numFmtId="165" fontId="4" fillId="13" borderId="186" xfId="3" applyNumberFormat="1" applyFont="1" applyFill="1" applyBorder="1" applyAlignment="1">
      <alignment horizontal="center"/>
    </xf>
    <xf numFmtId="165" fontId="4" fillId="0" borderId="175" xfId="3" applyNumberFormat="1" applyFont="1" applyBorder="1" applyAlignment="1">
      <alignment horizontal="center"/>
    </xf>
    <xf numFmtId="165" fontId="4" fillId="0" borderId="187" xfId="3" applyNumberFormat="1" applyFont="1" applyBorder="1" applyAlignment="1">
      <alignment horizontal="center"/>
    </xf>
    <xf numFmtId="165" fontId="4" fillId="0" borderId="176" xfId="3" applyNumberFormat="1" applyFont="1" applyBorder="1" applyAlignment="1">
      <alignment horizontal="center"/>
    </xf>
    <xf numFmtId="9" fontId="4" fillId="0" borderId="186" xfId="4" applyFont="1" applyBorder="1" applyAlignment="1">
      <alignment horizontal="center"/>
    </xf>
    <xf numFmtId="9" fontId="4" fillId="0" borderId="187" xfId="4" applyFont="1" applyBorder="1" applyAlignment="1">
      <alignment horizontal="center"/>
    </xf>
    <xf numFmtId="9" fontId="4" fillId="0" borderId="188" xfId="4" applyFont="1" applyBorder="1" applyAlignment="1">
      <alignment horizontal="center"/>
    </xf>
    <xf numFmtId="0" fontId="4" fillId="0" borderId="1" xfId="3" applyFont="1"/>
    <xf numFmtId="165" fontId="4" fillId="0" borderId="180" xfId="4" applyNumberFormat="1" applyFont="1" applyFill="1" applyBorder="1" applyAlignment="1">
      <alignment horizontal="center"/>
    </xf>
    <xf numFmtId="9" fontId="4" fillId="0" borderId="180" xfId="1" applyFont="1" applyBorder="1" applyAlignment="1">
      <alignment horizontal="center"/>
    </xf>
    <xf numFmtId="2" fontId="4" fillId="0" borderId="161" xfId="3" applyNumberFormat="1" applyFont="1" applyBorder="1" applyAlignment="1">
      <alignment horizontal="center"/>
    </xf>
    <xf numFmtId="2" fontId="4" fillId="0" borderId="181" xfId="3" applyNumberFormat="1" applyFont="1" applyBorder="1" applyAlignment="1">
      <alignment horizontal="center"/>
    </xf>
    <xf numFmtId="2" fontId="4" fillId="0" borderId="173" xfId="3" applyNumberFormat="1" applyFont="1" applyBorder="1" applyAlignment="1">
      <alignment horizontal="center"/>
    </xf>
    <xf numFmtId="165" fontId="4" fillId="0" borderId="186" xfId="3" applyNumberFormat="1" applyFont="1" applyBorder="1" applyAlignment="1">
      <alignment horizontal="center"/>
    </xf>
    <xf numFmtId="0" fontId="4" fillId="0" borderId="172" xfId="3" applyFont="1" applyBorder="1" applyAlignment="1">
      <alignment horizontal="left" indent="1"/>
    </xf>
    <xf numFmtId="0" fontId="4" fillId="0" borderId="172" xfId="3" applyFont="1" applyBorder="1" applyAlignment="1">
      <alignment horizontal="left"/>
    </xf>
    <xf numFmtId="0" fontId="4" fillId="13" borderId="172" xfId="3" applyFont="1" applyFill="1" applyBorder="1" applyAlignment="1">
      <alignment horizontal="left"/>
    </xf>
    <xf numFmtId="1" fontId="4" fillId="13" borderId="180" xfId="3" applyNumberFormat="1" applyFont="1" applyFill="1" applyBorder="1" applyAlignment="1">
      <alignment horizontal="center"/>
    </xf>
    <xf numFmtId="1" fontId="4" fillId="0" borderId="161" xfId="3" applyNumberFormat="1" applyFont="1" applyBorder="1" applyAlignment="1">
      <alignment horizontal="center"/>
    </xf>
    <xf numFmtId="1" fontId="4" fillId="0" borderId="181" xfId="3" applyNumberFormat="1" applyFont="1" applyBorder="1" applyAlignment="1">
      <alignment horizontal="center"/>
    </xf>
    <xf numFmtId="1" fontId="4" fillId="0" borderId="173" xfId="3" applyNumberFormat="1" applyFont="1" applyBorder="1" applyAlignment="1">
      <alignment horizontal="center"/>
    </xf>
    <xf numFmtId="0" fontId="4" fillId="0" borderId="174" xfId="3" applyFont="1" applyBorder="1" applyAlignment="1">
      <alignment horizontal="left"/>
    </xf>
    <xf numFmtId="165" fontId="4" fillId="0" borderId="180" xfId="1" applyNumberFormat="1" applyFont="1" applyBorder="1" applyAlignment="1">
      <alignment horizontal="center"/>
    </xf>
    <xf numFmtId="169" fontId="4" fillId="0" borderId="180" xfId="1" applyNumberFormat="1" applyFont="1" applyBorder="1" applyAlignment="1">
      <alignment horizontal="center"/>
    </xf>
    <xf numFmtId="169" fontId="4" fillId="0" borderId="186" xfId="1" applyNumberFormat="1" applyFont="1" applyBorder="1" applyAlignment="1">
      <alignment horizontal="center"/>
    </xf>
    <xf numFmtId="3" fontId="20" fillId="0" borderId="0" xfId="0" applyNumberFormat="1" applyFont="1"/>
    <xf numFmtId="43" fontId="20" fillId="0" borderId="0" xfId="5" applyFont="1" applyFill="1"/>
    <xf numFmtId="0" fontId="21" fillId="26" borderId="1" xfId="0" applyFont="1" applyFill="1" applyBorder="1"/>
    <xf numFmtId="0" fontId="10" fillId="29" borderId="208" xfId="0" applyFont="1" applyFill="1" applyBorder="1" applyAlignment="1">
      <alignment horizontal="center"/>
    </xf>
    <xf numFmtId="0" fontId="10" fillId="30" borderId="208" xfId="0" applyFont="1" applyFill="1" applyBorder="1" applyAlignment="1">
      <alignment horizontal="center"/>
    </xf>
    <xf numFmtId="0" fontId="10" fillId="31" borderId="208" xfId="0" applyFont="1" applyFill="1" applyBorder="1" applyAlignment="1">
      <alignment horizontal="center"/>
    </xf>
    <xf numFmtId="0" fontId="10" fillId="32" borderId="208" xfId="0" applyFont="1" applyFill="1" applyBorder="1" applyAlignment="1">
      <alignment horizontal="center"/>
    </xf>
    <xf numFmtId="0" fontId="10" fillId="33" borderId="208" xfId="0" applyFont="1" applyFill="1" applyBorder="1" applyAlignment="1">
      <alignment horizontal="center"/>
    </xf>
    <xf numFmtId="39" fontId="22" fillId="0" borderId="0" xfId="0" applyNumberFormat="1" applyFont="1"/>
    <xf numFmtId="169" fontId="22" fillId="0" borderId="9" xfId="0" applyNumberFormat="1" applyFont="1" applyBorder="1"/>
    <xf numFmtId="0" fontId="46" fillId="0" borderId="1" xfId="0" applyFont="1" applyBorder="1"/>
    <xf numFmtId="37" fontId="22" fillId="0" borderId="1" xfId="0" applyNumberFormat="1" applyFont="1" applyBorder="1"/>
    <xf numFmtId="0" fontId="45" fillId="0" borderId="0" xfId="0" applyFont="1"/>
    <xf numFmtId="3" fontId="19" fillId="0" borderId="0" xfId="0" applyNumberFormat="1" applyFont="1"/>
    <xf numFmtId="43" fontId="19" fillId="0" borderId="0" xfId="5" applyFont="1"/>
    <xf numFmtId="2" fontId="0" fillId="0" borderId="0" xfId="0" applyNumberFormat="1"/>
    <xf numFmtId="3" fontId="0" fillId="0" borderId="0" xfId="0" applyNumberFormat="1"/>
    <xf numFmtId="4" fontId="19" fillId="0" borderId="0" xfId="0" applyNumberFormat="1" applyFont="1"/>
    <xf numFmtId="169" fontId="19" fillId="0" borderId="0" xfId="1" applyNumberFormat="1" applyFont="1"/>
    <xf numFmtId="43" fontId="29" fillId="0" borderId="0" xfId="5" applyFont="1"/>
    <xf numFmtId="169" fontId="29" fillId="0" borderId="0" xfId="1" applyNumberFormat="1" applyFont="1"/>
    <xf numFmtId="43" fontId="0" fillId="0" borderId="0" xfId="0" applyNumberFormat="1"/>
    <xf numFmtId="169" fontId="0" fillId="0" borderId="0" xfId="1" applyNumberFormat="1" applyFont="1" applyAlignment="1"/>
    <xf numFmtId="43" fontId="0" fillId="0" borderId="0" xfId="5" applyFont="1" applyAlignment="1"/>
    <xf numFmtId="4" fontId="29" fillId="0" borderId="0" xfId="0" applyNumberFormat="1" applyFont="1"/>
    <xf numFmtId="4" fontId="0" fillId="0" borderId="0" xfId="0" applyNumberFormat="1"/>
    <xf numFmtId="9" fontId="19" fillId="0" borderId="0" xfId="1" applyFont="1"/>
    <xf numFmtId="167" fontId="24" fillId="0" borderId="35" xfId="5" applyNumberFormat="1" applyFont="1" applyFill="1" applyBorder="1"/>
    <xf numFmtId="175" fontId="21" fillId="0" borderId="1" xfId="0" applyNumberFormat="1" applyFont="1" applyBorder="1"/>
    <xf numFmtId="175" fontId="21" fillId="0" borderId="0" xfId="0" applyNumberFormat="1" applyFont="1" applyFill="1"/>
    <xf numFmtId="9" fontId="21" fillId="0" borderId="0" xfId="1" applyNumberFormat="1" applyFont="1" applyFill="1"/>
    <xf numFmtId="1" fontId="43" fillId="10" borderId="47" xfId="0" quotePrefix="1" applyNumberFormat="1" applyFont="1" applyFill="1" applyBorder="1" applyAlignment="1">
      <alignment horizontal="left" vertical="top"/>
    </xf>
    <xf numFmtId="0" fontId="3" fillId="13" borderId="1" xfId="9" applyFill="1"/>
    <xf numFmtId="174" fontId="3" fillId="13" borderId="1" xfId="9" applyNumberFormat="1" applyFill="1" applyAlignment="1">
      <alignment horizontal="right" vertical="center"/>
    </xf>
    <xf numFmtId="165" fontId="11" fillId="0" borderId="0" xfId="0" applyNumberFormat="1" applyFont="1" applyFill="1" applyAlignment="1">
      <alignment horizontal="center" vertical="top"/>
    </xf>
    <xf numFmtId="165" fontId="39" fillId="0" borderId="0" xfId="0" applyNumberFormat="1" applyFont="1" applyFill="1" applyAlignment="1">
      <alignment horizontal="center" vertical="top"/>
    </xf>
    <xf numFmtId="4" fontId="11" fillId="0" borderId="0" xfId="0" applyNumberFormat="1" applyFont="1" applyFill="1" applyAlignment="1">
      <alignment horizontal="center" vertical="top"/>
    </xf>
    <xf numFmtId="165" fontId="53" fillId="0" borderId="0" xfId="0" applyNumberFormat="1" applyFont="1" applyFill="1" applyAlignment="1">
      <alignment horizontal="center" vertical="top"/>
    </xf>
    <xf numFmtId="4" fontId="53" fillId="0" borderId="0" xfId="0" applyNumberFormat="1" applyFont="1" applyFill="1" applyAlignment="1">
      <alignment horizontal="center" vertical="top"/>
    </xf>
    <xf numFmtId="165" fontId="0" fillId="0" borderId="0" xfId="0" applyNumberFormat="1" applyFont="1" applyFill="1" applyAlignment="1"/>
    <xf numFmtId="4" fontId="3" fillId="13" borderId="1" xfId="9" applyNumberFormat="1" applyFill="1"/>
    <xf numFmtId="37" fontId="24" fillId="0" borderId="24" xfId="0" applyNumberFormat="1" applyFont="1" applyFill="1" applyBorder="1"/>
    <xf numFmtId="169" fontId="21" fillId="0" borderId="13" xfId="1" applyNumberFormat="1" applyFont="1" applyFill="1" applyBorder="1"/>
    <xf numFmtId="10" fontId="19" fillId="0" borderId="0" xfId="1" applyNumberFormat="1" applyFont="1"/>
    <xf numFmtId="0" fontId="2" fillId="13" borderId="180" xfId="3" applyFont="1" applyFill="1" applyBorder="1" applyAlignment="1">
      <alignment horizontal="center"/>
    </xf>
    <xf numFmtId="165" fontId="2" fillId="13" borderId="186" xfId="3" applyNumberFormat="1" applyFont="1" applyFill="1" applyBorder="1" applyAlignment="1">
      <alignment horizontal="center"/>
    </xf>
    <xf numFmtId="1" fontId="79" fillId="10" borderId="47" xfId="10" applyNumberFormat="1" applyFill="1" applyBorder="1" applyAlignment="1">
      <alignment horizontal="left" vertical="top"/>
    </xf>
    <xf numFmtId="4" fontId="7" fillId="13" borderId="1" xfId="6" applyNumberFormat="1" applyFill="1"/>
    <xf numFmtId="165" fontId="4" fillId="0" borderId="1" xfId="3" applyNumberFormat="1" applyFont="1"/>
    <xf numFmtId="1" fontId="43" fillId="34" borderId="47" xfId="0" applyNumberFormat="1" applyFont="1" applyFill="1" applyBorder="1" applyAlignment="1">
      <alignment horizontal="left" vertical="top"/>
    </xf>
    <xf numFmtId="49" fontId="42" fillId="34" borderId="47" xfId="0" applyNumberFormat="1" applyFont="1" applyFill="1" applyBorder="1" applyAlignment="1">
      <alignment horizontal="left" vertical="top"/>
    </xf>
    <xf numFmtId="0" fontId="42" fillId="34" borderId="0" xfId="0" applyFont="1" applyFill="1" applyAlignment="1">
      <alignment horizontal="left" vertical="top"/>
    </xf>
    <xf numFmtId="0" fontId="11" fillId="34" borderId="0" xfId="0" applyFont="1" applyFill="1" applyAlignment="1">
      <alignment horizontal="center"/>
    </xf>
    <xf numFmtId="0" fontId="11" fillId="34" borderId="0" xfId="0" applyFont="1" applyFill="1"/>
    <xf numFmtId="0" fontId="55" fillId="0" borderId="1" xfId="2" applyFont="1" applyAlignment="1">
      <alignment horizontal="center"/>
    </xf>
    <xf numFmtId="0" fontId="47" fillId="22" borderId="104" xfId="0" applyFont="1" applyFill="1" applyBorder="1" applyAlignment="1">
      <alignment horizontal="center"/>
    </xf>
    <xf numFmtId="169" fontId="21" fillId="0" borderId="1" xfId="1" applyNumberFormat="1" applyFont="1" applyBorder="1" applyAlignment="1">
      <alignment horizontal="right"/>
    </xf>
    <xf numFmtId="169" fontId="21" fillId="0" borderId="22" xfId="1" applyNumberFormat="1" applyFont="1" applyBorder="1" applyAlignment="1">
      <alignment horizontal="right"/>
    </xf>
    <xf numFmtId="4" fontId="0" fillId="0" borderId="0" xfId="0" applyNumberFormat="1" applyFont="1" applyAlignment="1"/>
    <xf numFmtId="0" fontId="1" fillId="0" borderId="1" xfId="11"/>
    <xf numFmtId="49" fontId="76" fillId="0" borderId="1" xfId="11" applyNumberFormat="1" applyFont="1" applyAlignment="1">
      <alignment horizontal="left" vertical="center"/>
    </xf>
    <xf numFmtId="49" fontId="1" fillId="0" borderId="1" xfId="11" applyNumberFormat="1" applyAlignment="1">
      <alignment horizontal="left" vertical="center"/>
    </xf>
    <xf numFmtId="174" fontId="76" fillId="0" borderId="1" xfId="11" applyNumberFormat="1" applyFont="1" applyAlignment="1">
      <alignment horizontal="right" vertical="center"/>
    </xf>
    <xf numFmtId="174" fontId="1" fillId="0" borderId="1" xfId="11" applyNumberFormat="1" applyAlignment="1">
      <alignment horizontal="right" vertical="center"/>
    </xf>
    <xf numFmtId="4" fontId="1" fillId="0" borderId="1" xfId="11" applyNumberFormat="1"/>
    <xf numFmtId="43" fontId="20" fillId="0" borderId="0" xfId="0" applyNumberFormat="1" applyFont="1" applyFill="1"/>
    <xf numFmtId="0" fontId="47" fillId="22" borderId="104" xfId="0" applyFont="1" applyFill="1" applyBorder="1" applyAlignment="1">
      <alignment horizontal="center"/>
    </xf>
    <xf numFmtId="0" fontId="47" fillId="22" borderId="105" xfId="0" applyFont="1" applyFill="1" applyBorder="1" applyAlignment="1">
      <alignment horizontal="center"/>
    </xf>
    <xf numFmtId="0" fontId="47" fillId="22" borderId="106" xfId="0" applyFont="1" applyFill="1" applyBorder="1" applyAlignment="1">
      <alignment horizontal="center"/>
    </xf>
    <xf numFmtId="0" fontId="55" fillId="0" borderId="53" xfId="2" applyFont="1" applyBorder="1" applyAlignment="1">
      <alignment horizontal="center"/>
    </xf>
    <xf numFmtId="0" fontId="55" fillId="0" borderId="1" xfId="2" applyFont="1" applyAlignment="1">
      <alignment horizontal="center"/>
    </xf>
    <xf numFmtId="0" fontId="11" fillId="28" borderId="205" xfId="0" applyFont="1" applyFill="1" applyBorder="1" applyAlignment="1">
      <alignment horizontal="left" vertical="top" wrapText="1"/>
    </xf>
    <xf numFmtId="0" fontId="23" fillId="0" borderId="206" xfId="0" applyFont="1" applyBorder="1"/>
    <xf numFmtId="0" fontId="23" fillId="0" borderId="207" xfId="0" applyFont="1" applyBorder="1"/>
    <xf numFmtId="0" fontId="74" fillId="0" borderId="53" xfId="3" applyFont="1" applyBorder="1" applyAlignment="1">
      <alignment horizontal="center"/>
    </xf>
    <xf numFmtId="0" fontId="22" fillId="0" borderId="66" xfId="0" applyFont="1" applyBorder="1" applyAlignment="1">
      <alignment horizontal="center"/>
    </xf>
    <xf numFmtId="0" fontId="23" fillId="0" borderId="66" xfId="0" applyFont="1" applyBorder="1"/>
    <xf numFmtId="0" fontId="23" fillId="0" borderId="67" xfId="0" applyFont="1" applyBorder="1"/>
    <xf numFmtId="0" fontId="22" fillId="0" borderId="69" xfId="0" applyFont="1" applyBorder="1" applyAlignment="1">
      <alignment horizontal="center"/>
    </xf>
    <xf numFmtId="0" fontId="23" fillId="0" borderId="62" xfId="0" applyFont="1" applyBorder="1"/>
    <xf numFmtId="0" fontId="22" fillId="0" borderId="90" xfId="0" applyFont="1" applyBorder="1" applyAlignment="1">
      <alignment horizontal="center" vertical="center"/>
    </xf>
    <xf numFmtId="0" fontId="23" fillId="0" borderId="88" xfId="0" applyFont="1" applyBorder="1"/>
    <xf numFmtId="0" fontId="23" fillId="0" borderId="91" xfId="0" applyFont="1" applyBorder="1"/>
    <xf numFmtId="0" fontId="22" fillId="0" borderId="88" xfId="0" applyFont="1" applyBorder="1" applyAlignment="1">
      <alignment horizontal="center" vertical="center"/>
    </xf>
    <xf numFmtId="0" fontId="23" fillId="0" borderId="89" xfId="0" applyFont="1" applyBorder="1"/>
    <xf numFmtId="0" fontId="22" fillId="0" borderId="67" xfId="0" applyFont="1" applyBorder="1" applyAlignment="1">
      <alignment horizontal="center"/>
    </xf>
    <xf numFmtId="0" fontId="22" fillId="0" borderId="62" xfId="0" applyFont="1" applyBorder="1" applyAlignment="1">
      <alignment horizontal="center"/>
    </xf>
  </cellXfs>
  <cellStyles count="12">
    <cellStyle name="Lien hypertexte" xfId="10" builtinId="8"/>
    <cellStyle name="Milliers" xfId="5" builtinId="3"/>
    <cellStyle name="Normal" xfId="0" builtinId="0"/>
    <cellStyle name="Normal 2" xfId="2" xr:uid="{00000000-0005-0000-0000-000002000000}"/>
    <cellStyle name="Normal 3" xfId="3" xr:uid="{00000000-0005-0000-0000-000003000000}"/>
    <cellStyle name="Normal 4" xfId="6" xr:uid="{00000000-0005-0000-0000-000004000000}"/>
    <cellStyle name="Normal 5" xfId="7" xr:uid="{00000000-0005-0000-0000-000005000000}"/>
    <cellStyle name="Normal 6" xfId="8" xr:uid="{00000000-0005-0000-0000-000006000000}"/>
    <cellStyle name="Normal 7" xfId="9" xr:uid="{00000000-0005-0000-0000-000007000000}"/>
    <cellStyle name="Normal 8" xfId="11" xr:uid="{2723781A-464C-4B7F-ACE0-05BD18456F45}"/>
    <cellStyle name="Pourcentage" xfId="1" builtinId="5"/>
    <cellStyle name="Pourcentage 2" xfId="4" xr:uid="{00000000-0005-0000-0000-000009000000}"/>
  </cellStyles>
  <dxfs count="71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11"/>
      <tableStyleElement type="firstRowStripe" dxfId="710"/>
      <tableStyleElement type="secondRowStripe" dxfId="709"/>
    </tableStyle>
    <tableStyle name="Data_Validation ex-style" pivot="0" count="3" xr9:uid="{00000000-0011-0000-FFFF-FFFF01000000}">
      <tableStyleElement type="headerRow" dxfId="708"/>
      <tableStyleElement type="firstRowStripe" dxfId="707"/>
      <tableStyleElement type="secondRowStripe" dxfId="706"/>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1997</v>
      </c>
    </row>
    <row r="2" spans="1:14">
      <c r="A2" s="1"/>
      <c r="G2" s="2" t="s">
        <v>1</v>
      </c>
      <c r="M2" s="161" t="s">
        <v>1933</v>
      </c>
      <c r="N2" s="161" t="s">
        <v>1944</v>
      </c>
    </row>
    <row r="3" spans="1:14">
      <c r="A3" s="1" t="s">
        <v>2</v>
      </c>
      <c r="B3" s="3" t="s">
        <v>1939</v>
      </c>
      <c r="C3" s="161">
        <f>+VLOOKUP(B3,$K$3:$L$14,2,0)</f>
        <v>7</v>
      </c>
      <c r="G3" s="2" t="s">
        <v>4</v>
      </c>
      <c r="K3" t="s">
        <v>1934</v>
      </c>
      <c r="L3" s="161">
        <v>1</v>
      </c>
      <c r="M3" s="161" t="str">
        <f t="shared" ref="M3:M14" si="0">+IF($K3=$B$3,"X","")</f>
        <v/>
      </c>
      <c r="N3" s="161" t="str">
        <f>+IF(K3=B3,"X",IF(L3&lt;=$C$3,"X",""))</f>
        <v>X</v>
      </c>
    </row>
    <row r="4" spans="1:14">
      <c r="A4" s="1" t="s">
        <v>5</v>
      </c>
      <c r="B4" s="3">
        <v>2021</v>
      </c>
      <c r="K4" t="s">
        <v>1935</v>
      </c>
      <c r="L4" s="161">
        <v>2</v>
      </c>
      <c r="M4" s="161" t="str">
        <f t="shared" si="0"/>
        <v/>
      </c>
      <c r="N4" s="161" t="str">
        <f t="shared" ref="N4:N14" si="1">+IF(K4=B4,"X",IF(L4&lt;=$C$3,"X",""))</f>
        <v>X</v>
      </c>
    </row>
    <row r="5" spans="1:14" ht="15" customHeight="1">
      <c r="K5" t="s">
        <v>1936</v>
      </c>
      <c r="L5" s="161">
        <v>3</v>
      </c>
      <c r="M5" s="161" t="str">
        <f t="shared" si="0"/>
        <v/>
      </c>
      <c r="N5" s="161" t="str">
        <f t="shared" si="1"/>
        <v>X</v>
      </c>
    </row>
    <row r="6" spans="1:14">
      <c r="A6" s="965"/>
      <c r="B6" s="966"/>
      <c r="K6" t="s">
        <v>1937</v>
      </c>
      <c r="L6" s="161">
        <v>4</v>
      </c>
      <c r="M6" s="161" t="str">
        <f t="shared" si="0"/>
        <v/>
      </c>
      <c r="N6" s="161" t="str">
        <f t="shared" si="1"/>
        <v>X</v>
      </c>
    </row>
    <row r="7" spans="1:14">
      <c r="A7" s="545"/>
      <c r="B7" s="967"/>
      <c r="K7" t="s">
        <v>1938</v>
      </c>
      <c r="L7" s="161">
        <v>5</v>
      </c>
      <c r="M7" s="161" t="str">
        <f t="shared" si="0"/>
        <v/>
      </c>
      <c r="N7" s="161" t="str">
        <f t="shared" si="1"/>
        <v>X</v>
      </c>
    </row>
    <row r="8" spans="1:14">
      <c r="A8" s="545"/>
      <c r="B8" s="967"/>
      <c r="K8" t="s">
        <v>1916</v>
      </c>
      <c r="L8" s="161">
        <v>6</v>
      </c>
      <c r="M8" s="161" t="str">
        <f t="shared" si="0"/>
        <v/>
      </c>
      <c r="N8" s="161" t="str">
        <f t="shared" si="1"/>
        <v>X</v>
      </c>
    </row>
    <row r="9" spans="1:14" ht="15" customHeight="1">
      <c r="A9" s="968" t="s">
        <v>2862</v>
      </c>
      <c r="K9" t="s">
        <v>1939</v>
      </c>
      <c r="L9" s="161">
        <v>7</v>
      </c>
      <c r="M9" s="161" t="str">
        <f t="shared" si="0"/>
        <v>X</v>
      </c>
      <c r="N9" s="161" t="str">
        <f t="shared" si="1"/>
        <v>X</v>
      </c>
    </row>
    <row r="10" spans="1:14">
      <c r="A10" s="2" t="s">
        <v>2860</v>
      </c>
      <c r="I10" s="2"/>
      <c r="K10" t="s">
        <v>1940</v>
      </c>
      <c r="L10" s="161">
        <v>8</v>
      </c>
      <c r="M10" s="161" t="str">
        <f t="shared" si="0"/>
        <v/>
      </c>
      <c r="N10" s="161" t="str">
        <f t="shared" si="1"/>
        <v/>
      </c>
    </row>
    <row r="11" spans="1:14">
      <c r="A11" s="2" t="s">
        <v>2861</v>
      </c>
      <c r="I11" s="2"/>
      <c r="K11" t="s">
        <v>3</v>
      </c>
      <c r="L11" s="161">
        <v>9</v>
      </c>
      <c r="M11" s="161" t="str">
        <f t="shared" si="0"/>
        <v/>
      </c>
      <c r="N11" s="161" t="str">
        <f t="shared" si="1"/>
        <v/>
      </c>
    </row>
    <row r="12" spans="1:14">
      <c r="A12" s="2" t="s">
        <v>2859</v>
      </c>
      <c r="I12" s="2"/>
      <c r="K12" t="s">
        <v>1941</v>
      </c>
      <c r="L12" s="161">
        <v>10</v>
      </c>
      <c r="M12" s="161" t="str">
        <f t="shared" si="0"/>
        <v/>
      </c>
      <c r="N12" s="161" t="str">
        <f t="shared" si="1"/>
        <v/>
      </c>
    </row>
    <row r="13" spans="1:14">
      <c r="A13" s="2"/>
      <c r="I13" s="2"/>
      <c r="K13" t="s">
        <v>1942</v>
      </c>
      <c r="L13" s="161">
        <v>11</v>
      </c>
      <c r="M13" s="161" t="str">
        <f t="shared" si="0"/>
        <v/>
      </c>
      <c r="N13" s="161" t="str">
        <f t="shared" si="1"/>
        <v/>
      </c>
    </row>
    <row r="14" spans="1:14">
      <c r="A14" s="2"/>
      <c r="I14" s="2"/>
      <c r="K14" t="s">
        <v>1943</v>
      </c>
      <c r="L14" s="161">
        <v>12</v>
      </c>
      <c r="M14" s="161" t="str">
        <f t="shared" si="0"/>
        <v/>
      </c>
      <c r="N14" s="161"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G11" sqref="G11"/>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Juillet 2021</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2944397.22</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2944397.22</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1666307.57</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546645.85</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71675.199999999997</v>
      </c>
      <c r="C10" s="539"/>
      <c r="D10" s="10" t="s">
        <v>16</v>
      </c>
      <c r="E10" s="560">
        <f>-SUMIFS(BV_Data_An_Cour!$P:$P,BV_Data_An_Cour!$U:$U,$A$1,BV_Data_An_Cour!$V:$V,$D10)</f>
        <v>-33718.730000000003</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66411.53</v>
      </c>
      <c r="C11" s="539"/>
      <c r="D11" s="10" t="s">
        <v>18</v>
      </c>
      <c r="E11" s="560">
        <f>-SUMIFS(BV_Data_An_Cour!$P:$P,BV_Data_An_Cour!$U:$U,$A$1,BV_Data_An_Cour!$V:$V,$D11)</f>
        <v>117748.01000000001</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38372.53</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54647.81</v>
      </c>
      <c r="C13" s="539"/>
      <c r="D13" s="10" t="s">
        <v>22</v>
      </c>
      <c r="E13" s="560">
        <f>-SUMIFS(BV_Data_An_Cour!$P:$P,BV_Data_An_Cour!$U:$U,$A$1,BV_Data_An_Cour!$V:$V,$D13)</f>
        <v>9100</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0</v>
      </c>
      <c r="C14" s="539"/>
      <c r="D14" s="10" t="s">
        <v>24</v>
      </c>
      <c r="E14" s="560">
        <f>-SUMIFS(BV_Data_An_Cour!$P:$P,BV_Data_An_Cour!$U:$U,$A$1,BV_Data_An_Cour!$V:$V,$D14)</f>
        <v>0</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29985.38</v>
      </c>
      <c r="C15" s="539"/>
      <c r="D15" s="10" t="s">
        <v>26</v>
      </c>
      <c r="E15" s="560">
        <f>-SUMIFS(BV_Data_An_Cour!$P:$P,BV_Data_An_Cour!$U:$U,$A$1,BV_Data_An_Cour!$V:$V,$D15)</f>
        <v>580214.5</v>
      </c>
      <c r="F15" s="2"/>
      <c r="G15" s="2"/>
      <c r="H15" s="2"/>
      <c r="I15" s="2"/>
      <c r="J15" s="2"/>
      <c r="K15" s="2"/>
      <c r="L15" s="2"/>
      <c r="M15" s="2"/>
      <c r="N15" s="2"/>
      <c r="O15" s="2"/>
      <c r="P15" s="2"/>
      <c r="Q15" s="2"/>
      <c r="R15" s="2"/>
      <c r="S15" s="2"/>
      <c r="T15" s="2"/>
      <c r="U15" s="2"/>
      <c r="V15" s="2"/>
      <c r="W15" s="2"/>
      <c r="X15" s="2"/>
      <c r="Y15" s="2"/>
    </row>
    <row r="16" spans="1:25">
      <c r="A16" s="9" t="s">
        <v>27</v>
      </c>
      <c r="B16" s="563">
        <f>+SUM(B8:B15)</f>
        <v>2474045.8699999996</v>
      </c>
      <c r="C16" s="540"/>
      <c r="D16" s="9" t="s">
        <v>28</v>
      </c>
      <c r="E16" s="566">
        <f>+SUM(E10:E15)</f>
        <v>673343.78</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3530870.3800000004</v>
      </c>
      <c r="C18" s="539"/>
      <c r="D18" s="10" t="s">
        <v>30</v>
      </c>
      <c r="E18" s="560">
        <f>-SUMIFS(BV_Data_An_Cour!$P:$P,BV_Data_An_Cour!$U:$U,$A$1,BV_Data_An_Cour!$V:$V,$D18)</f>
        <v>4931928.2300000004</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1562180.4400000002</v>
      </c>
      <c r="C19" s="539"/>
      <c r="D19" s="10" t="s">
        <v>32</v>
      </c>
      <c r="E19" s="560">
        <f>-SUMIFS(BV_Data_An_Cour!$P:$P,BV_Data_An_Cour!$U:$U,$A$1,BV_Data_An_Cour!$V:$V,$D19)</f>
        <v>228133.97</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369414.57</v>
      </c>
      <c r="C20" s="539"/>
      <c r="D20" s="9" t="s">
        <v>34</v>
      </c>
      <c r="E20" s="566">
        <f>+SUM(E18:E19)</f>
        <v>5160062.2</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5462465.3900000006</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464492.82</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29866.74</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5371.65</v>
      </c>
      <c r="C24" s="539"/>
      <c r="D24" s="10" t="s">
        <v>40</v>
      </c>
      <c r="E24" s="560">
        <f>-SUMIFS(BV_Data_An_Cour!$P:$P,BV_Data_An_Cour!$U:$U,$A$1,BV_Data_An_Cour!$V:$V,$D24)</f>
        <v>22803.079999999998</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-3074.39</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149519.69</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517162.64</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151816.95000000001</v>
      </c>
      <c r="C30" s="540"/>
      <c r="D30" s="12" t="s">
        <v>46</v>
      </c>
      <c r="E30" s="561">
        <f>+E5+E7+E16+E20+E28</f>
        <v>6366378.6200000001</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11032725.43</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1124.3099999999977</v>
      </c>
      <c r="C37" s="543"/>
      <c r="D37" s="10" t="s">
        <v>54</v>
      </c>
      <c r="E37" s="560">
        <f>-SUMIFS(BV_Data_An_Cour!$P:$P,BV_Data_An_Cour!$U:$U,$A$1,BV_Data_An_Cour!$V:$V,$D37)</f>
        <v>18936.25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170958.80000000005</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33260.950000000012</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21190.069999999978</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0</v>
      </c>
      <c r="C42" s="543"/>
      <c r="D42" s="12" t="s">
        <v>61</v>
      </c>
      <c r="E42" s="561">
        <f>+SUM(E33:E38)</f>
        <v>18936.25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1.0000000009313226E-2</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226534.14000000004</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6385314.8700000001</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1623600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2076380.1999999997</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1850134.1400000001</v>
      </c>
      <c r="C53" s="541"/>
      <c r="D53" s="12" t="s">
        <v>72</v>
      </c>
      <c r="E53" s="561">
        <f>SUM(E48:E51)</f>
        <v>6497544.6999999993</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12882859.57</v>
      </c>
      <c r="C56" s="541"/>
      <c r="D56" s="12" t="s">
        <v>74</v>
      </c>
      <c r="E56" s="561">
        <f>+E53+E45</f>
        <v>12882859.57</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27"/>
  <sheetViews>
    <sheetView zoomScale="55" zoomScaleNormal="55" zoomScaleSheetLayoutView="55" workbookViewId="0">
      <pane xSplit="2" ySplit="1" topLeftCell="C461" activePane="bottomRight" state="frozen"/>
      <selection activeCell="B103" sqref="B103"/>
      <selection pane="topRight" activeCell="B103" sqref="B103"/>
      <selection pane="bottomLeft" activeCell="B103" sqref="B103"/>
      <selection pane="bottomRight" activeCell="D505" sqref="D505"/>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55" t="str">
        <f>"Budget 2021 Mensuel Révisé"&amp;" "&amp;Parametres!$B$1</f>
        <v>Budget 2021 Mensuel Révisé Volks</v>
      </c>
      <c r="C1" s="1155"/>
      <c r="D1" s="1155"/>
      <c r="E1" s="1155"/>
      <c r="F1" s="1155"/>
      <c r="G1" s="1155"/>
      <c r="H1" s="1155"/>
      <c r="I1" s="1155"/>
      <c r="J1" s="1155"/>
      <c r="K1" s="1155"/>
      <c r="L1" s="1155"/>
      <c r="M1" s="1155"/>
      <c r="N1" s="1155"/>
      <c r="O1" s="1155"/>
      <c r="P1" s="1155"/>
      <c r="Q1" s="1155"/>
      <c r="R1" s="1155"/>
      <c r="S1" s="1155"/>
      <c r="T1" s="1155"/>
      <c r="U1" s="1155"/>
      <c r="V1" s="1155"/>
      <c r="W1" s="1155"/>
      <c r="X1" s="1155"/>
      <c r="Y1" s="1155"/>
      <c r="Z1" s="1155"/>
      <c r="AA1" s="1155"/>
      <c r="AB1" s="1155"/>
      <c r="AC1" s="1155"/>
      <c r="AD1" s="1155"/>
      <c r="AE1" s="1155"/>
      <c r="AF1" s="1155"/>
      <c r="AG1" s="1155"/>
      <c r="AH1" s="1155"/>
      <c r="AI1" s="1155"/>
      <c r="AJ1" s="1155"/>
      <c r="AK1" s="1155"/>
      <c r="AL1" s="1155"/>
      <c r="AM1" s="1155"/>
      <c r="AN1" s="1155"/>
      <c r="AO1" s="1155"/>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X</v>
      </c>
      <c r="Y2" s="616" t="str">
        <f>+IF(Parametres!$B$3=X$6,"O","")</f>
        <v>O</v>
      </c>
      <c r="Z2" s="616" t="str">
        <f>+IF(Parametres!$B$3=X$6,"U","")</f>
        <v>U</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X</v>
      </c>
      <c r="Y3" s="621" t="str">
        <f>+IF(VLOOKUP(X$6,Parametres!$K$3:$N$14,4,0)="X","O","")</f>
        <v>O</v>
      </c>
      <c r="Z3" s="621" t="str">
        <f>+IF(VLOOKUP(X$6,Parametres!$K$3:$N$14,4,0)="X","U","")</f>
        <v>U</v>
      </c>
      <c r="AA3" s="621" t="str">
        <f>+IF(VLOOKUP(AA$6,Parametres!$K$3:$N$14,4,0)="X","X","")</f>
        <v/>
      </c>
      <c r="AB3" s="621" t="str">
        <f>+IF(VLOOKUP(AA$6,Parametres!$K$3:$N$14,4,0)="X","O","")</f>
        <v/>
      </c>
      <c r="AC3" s="621" t="str">
        <f>+IF(VLOOKUP(AA$6,Parametres!$K$3:$N$14,4,0)="X","U","")</f>
        <v/>
      </c>
      <c r="AD3" s="621" t="str">
        <f>+IF(VLOOKUP(AD$6,Parametres!$K$3:$N$14,4,0)="X","X","")</f>
        <v/>
      </c>
      <c r="AE3" s="621" t="str">
        <f>+IF(VLOOKUP(AD$6,Parametres!$K$3:$N$14,4,0)="X","O","")</f>
        <v/>
      </c>
      <c r="AF3" s="621" t="str">
        <f>+IF(VLOOKUP(AD$6,Parametres!$K$3:$N$14,4,0)="X","U","")</f>
        <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1140"/>
      <c r="B4" s="1140" t="s">
        <v>1932</v>
      </c>
      <c r="C4" s="1156" t="s">
        <v>75</v>
      </c>
      <c r="D4" s="1156"/>
      <c r="E4" s="1156"/>
      <c r="F4" s="1156"/>
      <c r="G4" s="1156"/>
      <c r="H4" s="1156"/>
      <c r="I4" s="1156"/>
      <c r="J4" s="1156"/>
      <c r="K4" s="1156"/>
      <c r="L4" s="1156"/>
      <c r="M4" s="1156"/>
      <c r="N4" s="1156"/>
      <c r="O4" s="1156"/>
      <c r="P4" s="1156"/>
      <c r="Q4" s="1156"/>
      <c r="R4" s="1156"/>
      <c r="S4" s="1156"/>
      <c r="T4" s="1156"/>
      <c r="U4" s="1156"/>
      <c r="V4" s="1156"/>
      <c r="W4" s="1156"/>
      <c r="X4" s="1156"/>
      <c r="Y4" s="1156"/>
      <c r="Z4" s="1156"/>
      <c r="AA4" s="1156"/>
      <c r="AB4" s="1156"/>
      <c r="AC4" s="1156"/>
      <c r="AD4" s="1156"/>
      <c r="AE4" s="1156"/>
      <c r="AF4" s="1156"/>
      <c r="AG4" s="1156"/>
      <c r="AH4" s="1156"/>
      <c r="AI4" s="1156"/>
      <c r="AJ4" s="1156"/>
      <c r="AK4" s="1156"/>
      <c r="AL4" s="1156"/>
      <c r="AM4" s="1156"/>
      <c r="AN4" s="1156"/>
      <c r="AO4" s="1156"/>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1141" t="s">
        <v>1933</v>
      </c>
      <c r="C6" s="1152">
        <v>2021</v>
      </c>
      <c r="D6" s="1153"/>
      <c r="E6" s="1154"/>
      <c r="F6" s="1035" t="s">
        <v>1934</v>
      </c>
      <c r="G6" s="1036"/>
      <c r="H6" s="1037"/>
      <c r="I6" s="1035" t="s">
        <v>1935</v>
      </c>
      <c r="J6" s="1036"/>
      <c r="K6" s="1037"/>
      <c r="L6" s="1035" t="s">
        <v>1936</v>
      </c>
      <c r="M6" s="1036"/>
      <c r="N6" s="1037"/>
      <c r="O6" s="1035" t="s">
        <v>1937</v>
      </c>
      <c r="P6" s="1036"/>
      <c r="Q6" s="1037"/>
      <c r="R6" s="1035" t="s">
        <v>1938</v>
      </c>
      <c r="S6" s="1036"/>
      <c r="T6" s="1037"/>
      <c r="U6" s="1035" t="s">
        <v>1916</v>
      </c>
      <c r="V6" s="1036"/>
      <c r="W6" s="1037"/>
      <c r="X6" s="1035" t="s">
        <v>1939</v>
      </c>
      <c r="Y6" s="1036"/>
      <c r="Z6" s="1037"/>
      <c r="AA6" s="1035" t="s">
        <v>1940</v>
      </c>
      <c r="AB6" s="1036"/>
      <c r="AC6" s="1037"/>
      <c r="AD6" s="1035" t="s">
        <v>3</v>
      </c>
      <c r="AE6" s="1036"/>
      <c r="AF6" s="1037"/>
      <c r="AG6" s="1035" t="s">
        <v>1941</v>
      </c>
      <c r="AH6" s="1036"/>
      <c r="AI6" s="1037"/>
      <c r="AJ6" s="1035" t="s">
        <v>1942</v>
      </c>
      <c r="AK6" s="1036"/>
      <c r="AL6" s="1037"/>
      <c r="AM6" s="1035" t="s">
        <v>1943</v>
      </c>
      <c r="AN6" s="1036"/>
      <c r="AO6" s="1037"/>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1141" t="s">
        <v>1933</v>
      </c>
      <c r="C94" s="1152">
        <v>2021</v>
      </c>
      <c r="D94" s="1153"/>
      <c r="E94" s="1154"/>
      <c r="F94" s="1035" t="s">
        <v>1934</v>
      </c>
      <c r="G94" s="1036"/>
      <c r="H94" s="1037"/>
      <c r="I94" s="1035" t="s">
        <v>1935</v>
      </c>
      <c r="J94" s="1036"/>
      <c r="K94" s="1037"/>
      <c r="L94" s="1035" t="s">
        <v>1936</v>
      </c>
      <c r="M94" s="1036"/>
      <c r="N94" s="1037"/>
      <c r="O94" s="1035" t="s">
        <v>1937</v>
      </c>
      <c r="P94" s="1036"/>
      <c r="Q94" s="1037"/>
      <c r="R94" s="1035" t="s">
        <v>1938</v>
      </c>
      <c r="S94" s="1036"/>
      <c r="T94" s="1037"/>
      <c r="U94" s="1035" t="s">
        <v>1916</v>
      </c>
      <c r="V94" s="1036"/>
      <c r="W94" s="1037"/>
      <c r="X94" s="1035" t="s">
        <v>1939</v>
      </c>
      <c r="Y94" s="1036"/>
      <c r="Z94" s="1037"/>
      <c r="AA94" s="1035" t="s">
        <v>1940</v>
      </c>
      <c r="AB94" s="1036"/>
      <c r="AC94" s="1037"/>
      <c r="AD94" s="1035" t="s">
        <v>3</v>
      </c>
      <c r="AE94" s="1036"/>
      <c r="AF94" s="1037"/>
      <c r="AG94" s="1035" t="s">
        <v>1941</v>
      </c>
      <c r="AH94" s="1036"/>
      <c r="AI94" s="1037"/>
      <c r="AJ94" s="1035" t="s">
        <v>1942</v>
      </c>
      <c r="AK94" s="1036"/>
      <c r="AL94" s="1037"/>
      <c r="AM94" s="1035" t="s">
        <v>1943</v>
      </c>
      <c r="AN94" s="1036"/>
      <c r="AO94" s="1037"/>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1141" t="s">
        <v>1933</v>
      </c>
      <c r="C172" s="1152">
        <v>2021</v>
      </c>
      <c r="D172" s="1153"/>
      <c r="E172" s="1154"/>
      <c r="F172" s="1035" t="s">
        <v>1934</v>
      </c>
      <c r="G172" s="1036"/>
      <c r="H172" s="1037"/>
      <c r="I172" s="1035" t="s">
        <v>1935</v>
      </c>
      <c r="J172" s="1036"/>
      <c r="K172" s="1037"/>
      <c r="L172" s="1035" t="s">
        <v>1936</v>
      </c>
      <c r="M172" s="1036"/>
      <c r="N172" s="1037"/>
      <c r="O172" s="1035" t="s">
        <v>1937</v>
      </c>
      <c r="P172" s="1036"/>
      <c r="Q172" s="1037"/>
      <c r="R172" s="1035" t="s">
        <v>1938</v>
      </c>
      <c r="S172" s="1036"/>
      <c r="T172" s="1037"/>
      <c r="U172" s="1035" t="s">
        <v>1916</v>
      </c>
      <c r="V172" s="1036"/>
      <c r="W172" s="1037"/>
      <c r="X172" s="1035" t="s">
        <v>1939</v>
      </c>
      <c r="Y172" s="1036"/>
      <c r="Z172" s="1037"/>
      <c r="AA172" s="1035" t="s">
        <v>1940</v>
      </c>
      <c r="AB172" s="1036"/>
      <c r="AC172" s="1037"/>
      <c r="AD172" s="1035" t="s">
        <v>3</v>
      </c>
      <c r="AE172" s="1036"/>
      <c r="AF172" s="1037"/>
      <c r="AG172" s="1035" t="s">
        <v>1941</v>
      </c>
      <c r="AH172" s="1036"/>
      <c r="AI172" s="1037"/>
      <c r="AJ172" s="1035" t="s">
        <v>1942</v>
      </c>
      <c r="AK172" s="1036"/>
      <c r="AL172" s="1037"/>
      <c r="AM172" s="1035" t="s">
        <v>1943</v>
      </c>
      <c r="AN172" s="1036"/>
      <c r="AO172" s="1037"/>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1141" t="s">
        <v>1933</v>
      </c>
      <c r="C239" s="1152">
        <v>2021</v>
      </c>
      <c r="D239" s="1153"/>
      <c r="E239" s="1154"/>
      <c r="F239" s="1035" t="s">
        <v>1934</v>
      </c>
      <c r="G239" s="1036"/>
      <c r="H239" s="1037"/>
      <c r="I239" s="1035" t="s">
        <v>1935</v>
      </c>
      <c r="J239" s="1036"/>
      <c r="K239" s="1037"/>
      <c r="L239" s="1035" t="s">
        <v>1936</v>
      </c>
      <c r="M239" s="1036"/>
      <c r="N239" s="1037"/>
      <c r="O239" s="1035" t="s">
        <v>1937</v>
      </c>
      <c r="P239" s="1036"/>
      <c r="Q239" s="1037"/>
      <c r="R239" s="1035" t="s">
        <v>1938</v>
      </c>
      <c r="S239" s="1036"/>
      <c r="T239" s="1037"/>
      <c r="U239" s="1035" t="s">
        <v>1916</v>
      </c>
      <c r="V239" s="1036"/>
      <c r="W239" s="1037"/>
      <c r="X239" s="1035" t="s">
        <v>1939</v>
      </c>
      <c r="Y239" s="1036"/>
      <c r="Z239" s="1037"/>
      <c r="AA239" s="1035" t="s">
        <v>1940</v>
      </c>
      <c r="AB239" s="1036"/>
      <c r="AC239" s="1037"/>
      <c r="AD239" s="1035" t="s">
        <v>3</v>
      </c>
      <c r="AE239" s="1036"/>
      <c r="AF239" s="1037"/>
      <c r="AG239" s="1035" t="s">
        <v>1941</v>
      </c>
      <c r="AH239" s="1036"/>
      <c r="AI239" s="1037"/>
      <c r="AJ239" s="1035" t="s">
        <v>1942</v>
      </c>
      <c r="AK239" s="1036"/>
      <c r="AL239" s="1037"/>
      <c r="AM239" s="1035" t="s">
        <v>1943</v>
      </c>
      <c r="AN239" s="1036"/>
      <c r="AO239" s="1037"/>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1141" t="s">
        <v>1933</v>
      </c>
      <c r="C293" s="1152">
        <v>2021</v>
      </c>
      <c r="D293" s="1153"/>
      <c r="E293" s="1154"/>
      <c r="F293" s="1035" t="s">
        <v>1934</v>
      </c>
      <c r="G293" s="1036"/>
      <c r="H293" s="1037"/>
      <c r="I293" s="1035" t="s">
        <v>1935</v>
      </c>
      <c r="J293" s="1036"/>
      <c r="K293" s="1037"/>
      <c r="L293" s="1035" t="s">
        <v>1936</v>
      </c>
      <c r="M293" s="1036"/>
      <c r="N293" s="1037"/>
      <c r="O293" s="1035" t="s">
        <v>1937</v>
      </c>
      <c r="P293" s="1036"/>
      <c r="Q293" s="1037"/>
      <c r="R293" s="1035" t="s">
        <v>1938</v>
      </c>
      <c r="S293" s="1036"/>
      <c r="T293" s="1037"/>
      <c r="U293" s="1035" t="s">
        <v>1916</v>
      </c>
      <c r="V293" s="1036"/>
      <c r="W293" s="1037"/>
      <c r="X293" s="1035" t="s">
        <v>1939</v>
      </c>
      <c r="Y293" s="1036"/>
      <c r="Z293" s="1037"/>
      <c r="AA293" s="1035" t="s">
        <v>1940</v>
      </c>
      <c r="AB293" s="1036"/>
      <c r="AC293" s="1037"/>
      <c r="AD293" s="1035" t="s">
        <v>3</v>
      </c>
      <c r="AE293" s="1036"/>
      <c r="AF293" s="1037"/>
      <c r="AG293" s="1035" t="s">
        <v>1941</v>
      </c>
      <c r="AH293" s="1036"/>
      <c r="AI293" s="1037"/>
      <c r="AJ293" s="1035" t="s">
        <v>1942</v>
      </c>
      <c r="AK293" s="1036"/>
      <c r="AL293" s="1037"/>
      <c r="AM293" s="1035" t="s">
        <v>1943</v>
      </c>
      <c r="AN293" s="1036"/>
      <c r="AO293" s="1037"/>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1141" t="s">
        <v>1933</v>
      </c>
      <c r="C357" s="1152">
        <v>2021</v>
      </c>
      <c r="D357" s="1153"/>
      <c r="E357" s="1154"/>
      <c r="F357" s="1035" t="s">
        <v>1934</v>
      </c>
      <c r="G357" s="1036"/>
      <c r="H357" s="1037"/>
      <c r="I357" s="1035" t="s">
        <v>1935</v>
      </c>
      <c r="J357" s="1036"/>
      <c r="K357" s="1037"/>
      <c r="L357" s="1035" t="s">
        <v>1936</v>
      </c>
      <c r="M357" s="1036"/>
      <c r="N357" s="1037"/>
      <c r="O357" s="1035" t="s">
        <v>1937</v>
      </c>
      <c r="P357" s="1036"/>
      <c r="Q357" s="1037"/>
      <c r="R357" s="1035" t="s">
        <v>1938</v>
      </c>
      <c r="S357" s="1036"/>
      <c r="T357" s="1037"/>
      <c r="U357" s="1035" t="s">
        <v>1916</v>
      </c>
      <c r="V357" s="1036"/>
      <c r="W357" s="1037"/>
      <c r="X357" s="1035" t="s">
        <v>1939</v>
      </c>
      <c r="Y357" s="1036"/>
      <c r="Z357" s="1037"/>
      <c r="AA357" s="1035" t="s">
        <v>1940</v>
      </c>
      <c r="AB357" s="1036"/>
      <c r="AC357" s="1037"/>
      <c r="AD357" s="1035" t="s">
        <v>3</v>
      </c>
      <c r="AE357" s="1036"/>
      <c r="AF357" s="1037"/>
      <c r="AG357" s="1035" t="s">
        <v>1941</v>
      </c>
      <c r="AH357" s="1036"/>
      <c r="AI357" s="1037"/>
      <c r="AJ357" s="1035" t="s">
        <v>1942</v>
      </c>
      <c r="AK357" s="1036"/>
      <c r="AL357" s="1037"/>
      <c r="AM357" s="1035" t="s">
        <v>1943</v>
      </c>
      <c r="AN357" s="1036"/>
      <c r="AO357" s="1037"/>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152">
        <v>2021</v>
      </c>
      <c r="D403" s="1153"/>
      <c r="E403" s="1154"/>
      <c r="F403" s="1035" t="s">
        <v>1934</v>
      </c>
      <c r="G403" s="1036"/>
      <c r="H403" s="1037"/>
      <c r="I403" s="1035" t="s">
        <v>1935</v>
      </c>
      <c r="J403" s="1036"/>
      <c r="K403" s="1037"/>
      <c r="L403" s="1035" t="s">
        <v>1936</v>
      </c>
      <c r="M403" s="1036"/>
      <c r="N403" s="1037"/>
      <c r="O403" s="1035" t="s">
        <v>1937</v>
      </c>
      <c r="P403" s="1036"/>
      <c r="Q403" s="1037"/>
      <c r="R403" s="1035" t="s">
        <v>1938</v>
      </c>
      <c r="S403" s="1036"/>
      <c r="T403" s="1037"/>
      <c r="U403" s="1035" t="s">
        <v>1916</v>
      </c>
      <c r="V403" s="1036"/>
      <c r="W403" s="1037"/>
      <c r="X403" s="1035" t="s">
        <v>1939</v>
      </c>
      <c r="Y403" s="1036"/>
      <c r="Z403" s="1037"/>
      <c r="AA403" s="1035" t="s">
        <v>1940</v>
      </c>
      <c r="AB403" s="1036"/>
      <c r="AC403" s="1037"/>
      <c r="AD403" s="1035" t="s">
        <v>3</v>
      </c>
      <c r="AE403" s="1036"/>
      <c r="AF403" s="1037"/>
      <c r="AG403" s="1035" t="s">
        <v>1941</v>
      </c>
      <c r="AH403" s="1036"/>
      <c r="AI403" s="1037"/>
      <c r="AJ403" s="1035" t="s">
        <v>1942</v>
      </c>
      <c r="AK403" s="1036"/>
      <c r="AL403" s="1037"/>
      <c r="AM403" s="1035" t="s">
        <v>1943</v>
      </c>
      <c r="AN403" s="1036"/>
      <c r="AO403" s="1037"/>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5.25">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Bot="1">
      <c r="A486" s="617"/>
      <c r="B486" s="784"/>
      <c r="C486" s="732"/>
      <c r="D486" s="732"/>
      <c r="E486" s="917"/>
      <c r="F486" s="732"/>
      <c r="G486" s="732"/>
      <c r="H486" s="917"/>
      <c r="I486" s="732"/>
      <c r="J486" s="732"/>
      <c r="K486" s="917"/>
      <c r="L486" s="732"/>
      <c r="M486" s="732"/>
      <c r="N486" s="917"/>
      <c r="O486" s="732"/>
      <c r="P486" s="732"/>
      <c r="Q486" s="917"/>
      <c r="R486" s="732"/>
      <c r="S486" s="732"/>
      <c r="T486" s="917"/>
      <c r="U486" s="732"/>
      <c r="V486" s="732"/>
      <c r="W486" s="917"/>
      <c r="X486" s="732"/>
      <c r="Y486" s="732"/>
      <c r="Z486" s="917"/>
      <c r="AA486" s="732"/>
      <c r="AB486" s="732"/>
      <c r="AC486" s="917"/>
      <c r="AD486" s="732"/>
      <c r="AE486" s="732"/>
      <c r="AF486" s="917"/>
      <c r="AG486" s="732"/>
      <c r="AH486" s="732"/>
      <c r="AI486" s="917"/>
      <c r="AJ486" s="732"/>
      <c r="AK486" s="732"/>
      <c r="AL486" s="917"/>
      <c r="AM486" s="732"/>
      <c r="AN486" s="732"/>
      <c r="AO486" s="917"/>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594"/>
      <c r="I498" s="594"/>
      <c r="J498" s="594"/>
      <c r="K498" s="594"/>
      <c r="L498" s="594"/>
      <c r="M498" s="594"/>
      <c r="N498" s="594"/>
      <c r="O498" s="594"/>
      <c r="P498" s="594"/>
      <c r="Q498" s="594"/>
      <c r="R498" s="594"/>
      <c r="S498" s="594"/>
      <c r="T498" s="594"/>
      <c r="U498" s="594"/>
      <c r="V498" s="594"/>
      <c r="W498" s="594"/>
      <c r="X498" s="594"/>
      <c r="Y498" s="594"/>
      <c r="Z498" s="594"/>
      <c r="AA498" s="594"/>
      <c r="AB498" s="594"/>
      <c r="AC498" s="594"/>
      <c r="AD498" s="594"/>
      <c r="AE498" s="594"/>
      <c r="AF498" s="594"/>
      <c r="AG498" s="594"/>
      <c r="AH498" s="594"/>
      <c r="AI498" s="594"/>
      <c r="AJ498" s="594"/>
      <c r="AK498" s="594"/>
      <c r="AL498" s="594"/>
      <c r="AM498" s="594"/>
      <c r="AN498" s="594"/>
      <c r="AO498" s="594"/>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94:E94"/>
    <mergeCell ref="B1:AO1"/>
    <mergeCell ref="C4:AO4"/>
    <mergeCell ref="C6:E6"/>
    <mergeCell ref="C403:E403"/>
    <mergeCell ref="C357:E357"/>
    <mergeCell ref="C293:E293"/>
    <mergeCell ref="C239:E239"/>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77"/>
  <sheetViews>
    <sheetView zoomScaleNormal="100" workbookViewId="0">
      <selection activeCell="M62" sqref="M62:M67"/>
    </sheetView>
  </sheetViews>
  <sheetFormatPr baseColWidth="10" defaultRowHeight="15"/>
  <cols>
    <col min="1" max="1" width="1.75" style="637" customWidth="1"/>
    <col min="2" max="2" width="23.25" style="637" customWidth="1"/>
    <col min="3" max="12" width="11.75" style="637" customWidth="1"/>
    <col min="13" max="13" width="58.625" style="637" customWidth="1"/>
    <col min="14" max="16" width="3.125" style="637" customWidth="1"/>
    <col min="17" max="16384" width="11" style="637"/>
  </cols>
  <sheetData>
    <row r="1" spans="2:13" ht="15.75">
      <c r="B1" s="1160" t="str">
        <f>Parametres!$B$1&amp;" "&amp;"2 pager"&amp;" "&amp;Parametres!$B$3&amp;" "&amp;Parametres!$B$4</f>
        <v>Volks 2 pager Juillet 2021</v>
      </c>
      <c r="C1" s="1160"/>
      <c r="D1" s="1160"/>
      <c r="E1" s="1160"/>
      <c r="F1" s="1160"/>
      <c r="G1" s="1160"/>
      <c r="H1" s="1160"/>
      <c r="I1" s="1160"/>
      <c r="J1" s="1160"/>
      <c r="K1" s="1160"/>
      <c r="L1" s="1160"/>
      <c r="M1" s="1160"/>
    </row>
    <row r="2" spans="2:13">
      <c r="B2" s="653"/>
    </row>
    <row r="3" spans="2:13">
      <c r="B3" s="647" t="s">
        <v>1951</v>
      </c>
      <c r="C3" s="648" t="s">
        <v>1952</v>
      </c>
      <c r="D3" s="649" t="s">
        <v>1975</v>
      </c>
      <c r="E3" s="649" t="s">
        <v>6</v>
      </c>
      <c r="F3" s="650">
        <v>2019</v>
      </c>
      <c r="G3" s="651" t="s">
        <v>1978</v>
      </c>
      <c r="H3" s="649" t="s">
        <v>1976</v>
      </c>
      <c r="I3" s="652" t="s">
        <v>1953</v>
      </c>
      <c r="J3" s="651" t="s">
        <v>1979</v>
      </c>
      <c r="K3" s="649" t="s">
        <v>1977</v>
      </c>
      <c r="L3" s="652" t="s">
        <v>1954</v>
      </c>
      <c r="M3" s="647" t="s">
        <v>1972</v>
      </c>
    </row>
    <row r="4" spans="2:13">
      <c r="B4" s="638" t="s">
        <v>1955</v>
      </c>
      <c r="C4" s="659">
        <f>+Print_Mois!$J$13+Print_Mois!$J$15</f>
        <v>67</v>
      </c>
      <c r="D4" s="659">
        <f>+Print_Mois!$G$13+Print_Mois!$G$15</f>
        <v>65</v>
      </c>
      <c r="E4" s="659">
        <f>+Print_Mois!$D$13+Print_Mois!$D$15</f>
        <v>64.903407121558502</v>
      </c>
      <c r="F4" s="659">
        <f>+Print_Mois!$O$13+Print_Mois!$O$15</f>
        <v>59</v>
      </c>
      <c r="G4" s="661">
        <f>+IFERROR($C4-D4,"")</f>
        <v>2</v>
      </c>
      <c r="H4" s="660">
        <f>+IFERROR($C4-E4,"")</f>
        <v>2.0965928784414984</v>
      </c>
      <c r="I4" s="662">
        <f>+IFERROR($C4-F4,"")</f>
        <v>8</v>
      </c>
      <c r="J4" s="674">
        <f t="shared" ref="J4:J15" si="0">+IFERROR(G4/ABS($D4),"")</f>
        <v>3.0769230769230771E-2</v>
      </c>
      <c r="K4" s="675">
        <f t="shared" ref="K4:K15" si="1">+IFERROR(H4/ABS($E4),"")</f>
        <v>3.2303279156281582E-2</v>
      </c>
      <c r="L4" s="676">
        <f t="shared" ref="L4:L15" si="2">+IFERROR(I4/ABS($F4),"")</f>
        <v>0.13559322033898305</v>
      </c>
      <c r="M4" s="1157" t="s">
        <v>2959</v>
      </c>
    </row>
    <row r="5" spans="2:13">
      <c r="B5" s="639" t="s">
        <v>1956</v>
      </c>
      <c r="C5" s="1040">
        <f>+Print_Mois!$L$13+Print_Mois!$L$15</f>
        <v>128105.63999999988</v>
      </c>
      <c r="D5" s="1040">
        <f>+Print_Mois!$I$13+Print_Mois!$I$15</f>
        <v>86165.064167191245</v>
      </c>
      <c r="E5" s="1040">
        <f>+Print_Mois!$F$13+Print_Mois!$F$15</f>
        <v>86165.064167191245</v>
      </c>
      <c r="F5" s="1040">
        <f>+Print_Mois!$Q$13+Print_Mois!$Q$15</f>
        <v>30261.780000000261</v>
      </c>
      <c r="G5" s="1041">
        <f>+IFERROR($C5-D5,"")</f>
        <v>41940.575832808638</v>
      </c>
      <c r="H5" s="1042">
        <f t="shared" ref="G5:I15" si="3">+IFERROR($C5-E5,"")</f>
        <v>41940.575832808638</v>
      </c>
      <c r="I5" s="1043">
        <f t="shared" si="3"/>
        <v>97843.859999999622</v>
      </c>
      <c r="J5" s="1044">
        <f t="shared" si="0"/>
        <v>0.48674687633759339</v>
      </c>
      <c r="K5" s="1045">
        <f t="shared" si="1"/>
        <v>0.48674687633759339</v>
      </c>
      <c r="L5" s="1046">
        <f t="shared" si="2"/>
        <v>3.2332486720873255</v>
      </c>
      <c r="M5" s="1158"/>
    </row>
    <row r="6" spans="2:13">
      <c r="B6" s="639" t="s">
        <v>1957</v>
      </c>
      <c r="C6" s="1040">
        <f>+C5/C4</f>
        <v>1912.0244776119387</v>
      </c>
      <c r="D6" s="1040">
        <f t="shared" ref="D6:F6" si="4">+D5/D4</f>
        <v>1325.6163718029422</v>
      </c>
      <c r="E6" s="1040">
        <f t="shared" si="4"/>
        <v>1327.5892281866111</v>
      </c>
      <c r="F6" s="1040">
        <f t="shared" si="4"/>
        <v>512.91152542373322</v>
      </c>
      <c r="G6" s="1041">
        <f t="shared" si="3"/>
        <v>586.40810580899642</v>
      </c>
      <c r="H6" s="1042">
        <f t="shared" si="3"/>
        <v>584.43524942532758</v>
      </c>
      <c r="I6" s="1043">
        <f t="shared" si="3"/>
        <v>1399.1129521882053</v>
      </c>
      <c r="J6" s="1044">
        <f t="shared" si="0"/>
        <v>0.44236637256632205</v>
      </c>
      <c r="K6" s="1045">
        <f t="shared" si="1"/>
        <v>0.44022295226334657</v>
      </c>
      <c r="L6" s="1046">
        <f t="shared" si="2"/>
        <v>2.7277861440768985</v>
      </c>
      <c r="M6" s="1158"/>
    </row>
    <row r="7" spans="2:13">
      <c r="B7" s="639" t="s">
        <v>1958</v>
      </c>
      <c r="C7" s="1040">
        <f>+Print_Mois!$L$31</f>
        <v>38166.44</v>
      </c>
      <c r="D7" s="1040">
        <f>+Print_Mois!$I$31</f>
        <v>25420.313740269692</v>
      </c>
      <c r="E7" s="1040">
        <f>+Print_Mois!$F$31</f>
        <v>25420.313740269692</v>
      </c>
      <c r="F7" s="1040">
        <f>+Print_Mois!$Q$31</f>
        <v>37735.24</v>
      </c>
      <c r="G7" s="1041">
        <f t="shared" si="3"/>
        <v>12746.12625973031</v>
      </c>
      <c r="H7" s="1042">
        <f t="shared" si="3"/>
        <v>12746.12625973031</v>
      </c>
      <c r="I7" s="1043">
        <f t="shared" si="3"/>
        <v>431.20000000000437</v>
      </c>
      <c r="J7" s="1044">
        <f t="shared" si="0"/>
        <v>0.50141498606047818</v>
      </c>
      <c r="K7" s="1045">
        <f t="shared" si="1"/>
        <v>0.50141498606047818</v>
      </c>
      <c r="L7" s="1046">
        <f t="shared" si="2"/>
        <v>1.1426984431528842E-2</v>
      </c>
      <c r="M7" s="1158"/>
    </row>
    <row r="8" spans="2:13">
      <c r="B8" s="639" t="s">
        <v>1959</v>
      </c>
      <c r="C8" s="1047">
        <f>+C7/C5</f>
        <v>0.29792942761926827</v>
      </c>
      <c r="D8" s="1047">
        <f t="shared" ref="D8:F8" si="5">+D7/D5</f>
        <v>0.29501879892928684</v>
      </c>
      <c r="E8" s="1047">
        <f t="shared" si="5"/>
        <v>0.29501879892928684</v>
      </c>
      <c r="F8" s="1047">
        <f t="shared" si="5"/>
        <v>1.2469603572559074</v>
      </c>
      <c r="G8" s="1048">
        <f t="shared" si="3"/>
        <v>2.9106286899814315E-3</v>
      </c>
      <c r="H8" s="1049">
        <f t="shared" si="3"/>
        <v>2.9106286899814315E-3</v>
      </c>
      <c r="I8" s="1050">
        <f t="shared" si="3"/>
        <v>-0.94903092963663904</v>
      </c>
      <c r="J8" s="1044">
        <f t="shared" si="0"/>
        <v>9.8659092252595098E-3</v>
      </c>
      <c r="K8" s="1045">
        <f t="shared" si="1"/>
        <v>9.8659092252595098E-3</v>
      </c>
      <c r="L8" s="1046">
        <f t="shared" si="2"/>
        <v>-0.76107546171323415</v>
      </c>
      <c r="M8" s="1158"/>
    </row>
    <row r="9" spans="2:13">
      <c r="B9" s="639" t="s">
        <v>1960</v>
      </c>
      <c r="C9" s="1040">
        <f>+Print_Mois!$L$24</f>
        <v>57002.59</v>
      </c>
      <c r="D9" s="1040">
        <f>+Print_Mois!$I$24</f>
        <v>55167.89605332473</v>
      </c>
      <c r="E9" s="1040">
        <f>+Print_Mois!$F$24</f>
        <v>55167.89605332473</v>
      </c>
      <c r="F9" s="1040">
        <f>+Print_Mois!$Q$24</f>
        <v>46136.92</v>
      </c>
      <c r="G9" s="1041">
        <f t="shared" si="3"/>
        <v>1834.6939466752665</v>
      </c>
      <c r="H9" s="1042">
        <f t="shared" si="3"/>
        <v>1834.6939466752665</v>
      </c>
      <c r="I9" s="1043">
        <f t="shared" si="3"/>
        <v>10865.669999999998</v>
      </c>
      <c r="J9" s="1044">
        <f t="shared" si="0"/>
        <v>3.325655096402208E-2</v>
      </c>
      <c r="K9" s="1045">
        <f t="shared" si="1"/>
        <v>3.325655096402208E-2</v>
      </c>
      <c r="L9" s="1046">
        <f t="shared" si="2"/>
        <v>0.23550921908094424</v>
      </c>
      <c r="M9" s="1158"/>
    </row>
    <row r="10" spans="2:13">
      <c r="B10" s="639" t="s">
        <v>1961</v>
      </c>
      <c r="C10" s="1040">
        <f>+C9/C4</f>
        <v>850.78492537313423</v>
      </c>
      <c r="D10" s="1040">
        <f t="shared" ref="D10:F10" si="6">+D9/D4</f>
        <v>848.73686235884202</v>
      </c>
      <c r="E10" s="1040">
        <f t="shared" si="6"/>
        <v>850.00000000000011</v>
      </c>
      <c r="F10" s="1040">
        <f t="shared" si="6"/>
        <v>781.98169491525425</v>
      </c>
      <c r="G10" s="1041">
        <f t="shared" si="3"/>
        <v>2.0480630142922109</v>
      </c>
      <c r="H10" s="1042">
        <f t="shared" si="3"/>
        <v>0.78492537313411503</v>
      </c>
      <c r="I10" s="1043">
        <f t="shared" si="3"/>
        <v>68.803230457879977</v>
      </c>
      <c r="J10" s="1044">
        <f t="shared" si="0"/>
        <v>2.4130718307676137E-3</v>
      </c>
      <c r="K10" s="1045">
        <f t="shared" si="1"/>
        <v>9.2344161545189994E-4</v>
      </c>
      <c r="L10" s="1046">
        <f t="shared" si="2"/>
        <v>8.7985730235458248E-2</v>
      </c>
      <c r="M10" s="1158"/>
    </row>
    <row r="11" spans="2:13">
      <c r="B11" s="639" t="s">
        <v>1962</v>
      </c>
      <c r="C11" s="1040">
        <f>+Print_Mois!$L$32</f>
        <v>17456.849999999999</v>
      </c>
      <c r="D11" s="1040">
        <f>+Print_Mois!$I$32</f>
        <v>16550.368815997419</v>
      </c>
      <c r="E11" s="1040">
        <f>+Print_Mois!$F$32</f>
        <v>16550.368815997419</v>
      </c>
      <c r="F11" s="1040">
        <f>+Print_Mois!$Q$32</f>
        <v>17352.41</v>
      </c>
      <c r="G11" s="1041">
        <f t="shared" si="3"/>
        <v>906.48118400257954</v>
      </c>
      <c r="H11" s="1042">
        <f t="shared" si="3"/>
        <v>906.48118400257954</v>
      </c>
      <c r="I11" s="1043">
        <f t="shared" si="3"/>
        <v>104.43999999999869</v>
      </c>
      <c r="J11" s="1044">
        <f t="shared" si="0"/>
        <v>5.477105640850638E-2</v>
      </c>
      <c r="K11" s="1045">
        <f t="shared" si="1"/>
        <v>5.477105640850638E-2</v>
      </c>
      <c r="L11" s="1046">
        <f t="shared" si="2"/>
        <v>6.0187605064655975E-3</v>
      </c>
      <c r="M11" s="1158"/>
    </row>
    <row r="12" spans="2:13">
      <c r="B12" s="639" t="s">
        <v>1963</v>
      </c>
      <c r="C12" s="1047">
        <f>+C11/C9</f>
        <v>0.30624661089960997</v>
      </c>
      <c r="D12" s="1047">
        <f t="shared" ref="D12:F12" si="7">+D11/D9</f>
        <v>0.3</v>
      </c>
      <c r="E12" s="1047">
        <f t="shared" si="7"/>
        <v>0.3</v>
      </c>
      <c r="F12" s="1047">
        <f t="shared" si="7"/>
        <v>0.3761068142390086</v>
      </c>
      <c r="G12" s="1051">
        <f t="shared" si="3"/>
        <v>6.2466108996099834E-3</v>
      </c>
      <c r="H12" s="1045">
        <f t="shared" si="3"/>
        <v>6.2466108996099834E-3</v>
      </c>
      <c r="I12" s="1052">
        <f t="shared" si="3"/>
        <v>-6.986020333939863E-2</v>
      </c>
      <c r="J12" s="1044">
        <f t="shared" si="0"/>
        <v>2.0822036332033278E-2</v>
      </c>
      <c r="K12" s="1045">
        <f t="shared" si="1"/>
        <v>2.0822036332033278E-2</v>
      </c>
      <c r="L12" s="1046">
        <f t="shared" si="2"/>
        <v>-0.18574564643490832</v>
      </c>
      <c r="M12" s="1158"/>
    </row>
    <row r="13" spans="2:13">
      <c r="B13" s="639" t="s">
        <v>1964</v>
      </c>
      <c r="C13" s="1040">
        <f>+Print_Mois!$L$41-C7-C11</f>
        <v>38465.590000000004</v>
      </c>
      <c r="D13" s="1040">
        <f>+Print_Mois!$I$41-D7-D11</f>
        <v>41861.094668002515</v>
      </c>
      <c r="E13" s="1040">
        <f>+Print_Mois!$F$41-E7-E11</f>
        <v>41861.094668002515</v>
      </c>
      <c r="F13" s="1040">
        <f>+Print_Mois!$Q$41-F7-F11</f>
        <v>48048.310000000012</v>
      </c>
      <c r="G13" s="1041">
        <f t="shared" si="3"/>
        <v>-3395.5046680025116</v>
      </c>
      <c r="H13" s="1042">
        <f t="shared" si="3"/>
        <v>-3395.5046680025116</v>
      </c>
      <c r="I13" s="1043">
        <f t="shared" si="3"/>
        <v>-9582.7200000000084</v>
      </c>
      <c r="J13" s="1044">
        <f t="shared" si="0"/>
        <v>-8.1113613844359E-2</v>
      </c>
      <c r="K13" s="1045">
        <f t="shared" si="1"/>
        <v>-8.1113613844359E-2</v>
      </c>
      <c r="L13" s="1046">
        <f t="shared" si="2"/>
        <v>-0.19943927268201536</v>
      </c>
      <c r="M13" s="1158"/>
    </row>
    <row r="14" spans="2:13">
      <c r="B14" s="639" t="s">
        <v>1965</v>
      </c>
      <c r="C14" s="1040">
        <f>+C13/C4</f>
        <v>574.11328358208959</v>
      </c>
      <c r="D14" s="1040">
        <f t="shared" ref="D14:F14" si="8">+D13/D4</f>
        <v>644.01684104619255</v>
      </c>
      <c r="E14" s="1040">
        <f t="shared" si="8"/>
        <v>644.97530290821692</v>
      </c>
      <c r="F14" s="1040">
        <f t="shared" si="8"/>
        <v>814.37813559322058</v>
      </c>
      <c r="G14" s="1041">
        <f t="shared" si="3"/>
        <v>-69.90355746410296</v>
      </c>
      <c r="H14" s="1042">
        <f t="shared" si="3"/>
        <v>-70.862019326127324</v>
      </c>
      <c r="I14" s="1043">
        <f t="shared" si="3"/>
        <v>-240.26485201113098</v>
      </c>
      <c r="J14" s="1044">
        <f t="shared" si="0"/>
        <v>-0.10854305820721399</v>
      </c>
      <c r="K14" s="1045">
        <f t="shared" si="1"/>
        <v>-0.10986780269974357</v>
      </c>
      <c r="L14" s="1046">
        <f t="shared" si="2"/>
        <v>-0.29502861325729718</v>
      </c>
      <c r="M14" s="1158"/>
    </row>
    <row r="15" spans="2:13">
      <c r="B15" s="639" t="s">
        <v>1966</v>
      </c>
      <c r="C15" s="1040">
        <f>+Print_Mois!$L$83</f>
        <v>77999</v>
      </c>
      <c r="D15" s="1040">
        <f>+Print_Mois!$I$83</f>
        <v>78695.959469342837</v>
      </c>
      <c r="E15" s="1040">
        <f>+Print_Mois!$F$83</f>
        <v>78695.959469342837</v>
      </c>
      <c r="F15" s="1040">
        <f>+Print_Mois!$Q$83</f>
        <v>174797.39</v>
      </c>
      <c r="G15" s="1041">
        <f t="shared" si="3"/>
        <v>-696.95946934283711</v>
      </c>
      <c r="H15" s="1042">
        <f t="shared" si="3"/>
        <v>-696.95946934283711</v>
      </c>
      <c r="I15" s="1043">
        <f t="shared" si="3"/>
        <v>-96798.390000000014</v>
      </c>
      <c r="J15" s="1044">
        <f t="shared" si="0"/>
        <v>-8.8563564640742175E-3</v>
      </c>
      <c r="K15" s="1045">
        <f t="shared" si="1"/>
        <v>-8.8563564640742175E-3</v>
      </c>
      <c r="L15" s="1046">
        <f t="shared" si="2"/>
        <v>-0.55377480178622807</v>
      </c>
      <c r="M15" s="1158"/>
    </row>
    <row r="16" spans="2:13">
      <c r="B16" s="641" t="s">
        <v>1967</v>
      </c>
      <c r="C16" s="1053"/>
      <c r="D16" s="1053"/>
      <c r="E16" s="1053"/>
      <c r="F16" s="1053"/>
      <c r="G16" s="1054"/>
      <c r="H16" s="1055"/>
      <c r="I16" s="1056"/>
      <c r="J16" s="1057"/>
      <c r="K16" s="1058"/>
      <c r="L16" s="1059"/>
      <c r="M16" s="1158"/>
    </row>
    <row r="17" spans="2:13">
      <c r="B17" s="685" t="s">
        <v>1955</v>
      </c>
      <c r="C17" s="1130">
        <v>123</v>
      </c>
      <c r="D17" s="1130">
        <v>160</v>
      </c>
      <c r="E17" s="1130">
        <v>160</v>
      </c>
      <c r="F17" s="1130">
        <v>384</v>
      </c>
      <c r="G17" s="1041">
        <f t="shared" ref="G17:I18" si="9">+IFERROR($C17-D17,"")</f>
        <v>-37</v>
      </c>
      <c r="H17" s="1042">
        <f t="shared" si="9"/>
        <v>-37</v>
      </c>
      <c r="I17" s="1043">
        <f t="shared" si="9"/>
        <v>-261</v>
      </c>
      <c r="J17" s="1044">
        <f>+IFERROR(G17/ABS($D17),"")</f>
        <v>-0.23125000000000001</v>
      </c>
      <c r="K17" s="1045">
        <f>+IFERROR(H17/ABS($E17),"")</f>
        <v>-0.23125000000000001</v>
      </c>
      <c r="L17" s="1046">
        <f>+IFERROR(I17/ABS($F17),"")</f>
        <v>-0.6796875</v>
      </c>
      <c r="M17" s="1158"/>
    </row>
    <row r="18" spans="2:13">
      <c r="B18" s="686" t="s">
        <v>1917</v>
      </c>
      <c r="C18" s="1131">
        <v>3719512</v>
      </c>
      <c r="D18" s="1131">
        <v>5114383</v>
      </c>
      <c r="E18" s="1131">
        <v>5114383</v>
      </c>
      <c r="F18" s="1131">
        <v>12243411</v>
      </c>
      <c r="G18" s="1062">
        <f t="shared" si="9"/>
        <v>-1394871</v>
      </c>
      <c r="H18" s="1063">
        <f t="shared" si="9"/>
        <v>-1394871</v>
      </c>
      <c r="I18" s="1064">
        <f t="shared" si="9"/>
        <v>-8523899</v>
      </c>
      <c r="J18" s="1065">
        <f>+IFERROR(G18/ABS($D18),"")</f>
        <v>-0.27273495160608818</v>
      </c>
      <c r="K18" s="1066">
        <f>+IFERROR(H18/ABS($E18),"")</f>
        <v>-0.27273495160608818</v>
      </c>
      <c r="L18" s="1067">
        <f>+IFERROR(I18/ABS($F18),"")</f>
        <v>-0.69620296173999219</v>
      </c>
      <c r="M18" s="1159"/>
    </row>
    <row r="19" spans="2:13">
      <c r="C19" s="1134"/>
      <c r="D19" s="1134"/>
      <c r="E19" s="1134"/>
      <c r="F19" s="1134"/>
      <c r="G19" s="1068"/>
      <c r="H19" s="1068"/>
      <c r="I19" s="1068"/>
      <c r="J19" s="1068"/>
      <c r="K19" s="1068"/>
      <c r="L19" s="1068"/>
      <c r="M19" s="165"/>
    </row>
    <row r="20" spans="2:13">
      <c r="B20" s="642" t="s">
        <v>1949</v>
      </c>
      <c r="C20" s="643" t="s">
        <v>1952</v>
      </c>
      <c r="D20" s="643" t="s">
        <v>1975</v>
      </c>
      <c r="E20" s="643" t="s">
        <v>6</v>
      </c>
      <c r="F20" s="643">
        <v>2019</v>
      </c>
      <c r="G20" s="645" t="s">
        <v>1978</v>
      </c>
      <c r="H20" s="644" t="s">
        <v>1976</v>
      </c>
      <c r="I20" s="646" t="s">
        <v>1953</v>
      </c>
      <c r="J20" s="645" t="s">
        <v>1979</v>
      </c>
      <c r="K20" s="644" t="s">
        <v>1977</v>
      </c>
      <c r="L20" s="646" t="s">
        <v>1954</v>
      </c>
      <c r="M20" s="1089" t="s">
        <v>1972</v>
      </c>
    </row>
    <row r="21" spans="2:13">
      <c r="B21" s="638" t="s">
        <v>1955</v>
      </c>
      <c r="C21" s="659">
        <f>+Print_Mois!$J$96</f>
        <v>41</v>
      </c>
      <c r="D21" s="659">
        <f>+Print_Mois!$G$96</f>
        <v>36.391956054250862</v>
      </c>
      <c r="E21" s="659">
        <f>+Print_Mois!$D$96</f>
        <v>36.391956054250862</v>
      </c>
      <c r="F21" s="659">
        <f>+Print_Mois!$O$96</f>
        <v>42</v>
      </c>
      <c r="G21" s="661">
        <f t="shared" ref="G21:I32" si="10">+IFERROR($C21-D21,"")</f>
        <v>4.608043945749138</v>
      </c>
      <c r="H21" s="660">
        <f t="shared" si="10"/>
        <v>4.608043945749138</v>
      </c>
      <c r="I21" s="662">
        <f t="shared" si="10"/>
        <v>-1</v>
      </c>
      <c r="J21" s="674">
        <f t="shared" ref="J21:J32" si="11">+IFERROR(G21/ABS($D21),"")</f>
        <v>0.12662259590772623</v>
      </c>
      <c r="K21" s="675">
        <f t="shared" ref="K21:K32" si="12">+IFERROR(H21/ABS($E21),"")</f>
        <v>0.12662259590772623</v>
      </c>
      <c r="L21" s="676">
        <f t="shared" ref="L21:L32" si="13">+IFERROR(I21/ABS($F21),"")</f>
        <v>-2.3809523809523808E-2</v>
      </c>
      <c r="M21" s="1157" t="s">
        <v>2960</v>
      </c>
    </row>
    <row r="22" spans="2:13">
      <c r="B22" s="639" t="s">
        <v>1956</v>
      </c>
      <c r="C22" s="1040">
        <f>+Print_Mois!$L$96</f>
        <v>66839.730000000069</v>
      </c>
      <c r="D22" s="1040">
        <f>+Print_Mois!$I$96</f>
        <v>27293.967040688145</v>
      </c>
      <c r="E22" s="1040">
        <f>+Print_Mois!$F$96</f>
        <v>27293.967040688145</v>
      </c>
      <c r="F22" s="1040">
        <f>+Print_Mois!$Q$96</f>
        <v>28894.130000000019</v>
      </c>
      <c r="G22" s="1041">
        <f t="shared" si="10"/>
        <v>39545.76295931192</v>
      </c>
      <c r="H22" s="1042">
        <f t="shared" si="10"/>
        <v>39545.76295931192</v>
      </c>
      <c r="I22" s="1043">
        <f t="shared" si="10"/>
        <v>37945.600000000049</v>
      </c>
      <c r="J22" s="1044">
        <f t="shared" si="11"/>
        <v>1.4488829308088327</v>
      </c>
      <c r="K22" s="1045">
        <f t="shared" si="12"/>
        <v>1.4488829308088327</v>
      </c>
      <c r="L22" s="1046">
        <f t="shared" si="13"/>
        <v>1.3132632821960732</v>
      </c>
      <c r="M22" s="1158"/>
    </row>
    <row r="23" spans="2:13">
      <c r="B23" s="639" t="s">
        <v>1957</v>
      </c>
      <c r="C23" s="1040">
        <f>+C22/C21</f>
        <v>1630.2373170731723</v>
      </c>
      <c r="D23" s="1040">
        <f t="shared" ref="D23:F23" si="14">+D22/D21</f>
        <v>750</v>
      </c>
      <c r="E23" s="1040">
        <f t="shared" si="14"/>
        <v>750</v>
      </c>
      <c r="F23" s="1040">
        <f t="shared" si="14"/>
        <v>687.9554761904767</v>
      </c>
      <c r="G23" s="1041">
        <f t="shared" si="10"/>
        <v>880.23731707317233</v>
      </c>
      <c r="H23" s="1042">
        <f t="shared" si="10"/>
        <v>880.23731707317233</v>
      </c>
      <c r="I23" s="1043">
        <f t="shared" si="10"/>
        <v>942.28184088269563</v>
      </c>
      <c r="J23" s="1044">
        <f t="shared" si="11"/>
        <v>1.1736497560975632</v>
      </c>
      <c r="K23" s="1045">
        <f t="shared" si="12"/>
        <v>1.1736497560975632</v>
      </c>
      <c r="L23" s="1046">
        <f t="shared" si="13"/>
        <v>1.3696843378593917</v>
      </c>
      <c r="M23" s="1158"/>
    </row>
    <row r="24" spans="2:13">
      <c r="B24" s="639" t="s">
        <v>1958</v>
      </c>
      <c r="C24" s="1040">
        <f>+Print_Mois!$L$111</f>
        <v>26233.91</v>
      </c>
      <c r="D24" s="1040">
        <f>+Print_Mois!$I$111</f>
        <v>15257.358299444291</v>
      </c>
      <c r="E24" s="1040">
        <f>+Print_Mois!$F$111</f>
        <v>15257.358299444291</v>
      </c>
      <c r="F24" s="1040">
        <f>+Print_Mois!$Q$111</f>
        <v>12144.98</v>
      </c>
      <c r="G24" s="1041">
        <f t="shared" si="10"/>
        <v>10976.551700555709</v>
      </c>
      <c r="H24" s="1042">
        <f t="shared" si="10"/>
        <v>10976.551700555709</v>
      </c>
      <c r="I24" s="1043">
        <f t="shared" si="10"/>
        <v>14088.93</v>
      </c>
      <c r="J24" s="1044">
        <f t="shared" si="11"/>
        <v>0.71942675036709991</v>
      </c>
      <c r="K24" s="1045">
        <f t="shared" si="12"/>
        <v>0.71942675036709991</v>
      </c>
      <c r="L24" s="1046">
        <f t="shared" si="13"/>
        <v>1.1600620173931946</v>
      </c>
      <c r="M24" s="1158"/>
    </row>
    <row r="25" spans="2:13">
      <c r="B25" s="639" t="s">
        <v>1959</v>
      </c>
      <c r="C25" s="1047">
        <f>+C24/C22</f>
        <v>0.39248976619145487</v>
      </c>
      <c r="D25" s="1047">
        <f t="shared" ref="D25:E25" si="15">+D24/D22</f>
        <v>0.55900112565899907</v>
      </c>
      <c r="E25" s="1047">
        <f t="shared" si="15"/>
        <v>0.55900112565899907</v>
      </c>
      <c r="F25" s="1047">
        <f>+F24/F22</f>
        <v>0.42032689684721403</v>
      </c>
      <c r="G25" s="1048">
        <f t="shared" si="10"/>
        <v>-0.1665113594675442</v>
      </c>
      <c r="H25" s="1049">
        <f t="shared" si="10"/>
        <v>-0.1665113594675442</v>
      </c>
      <c r="I25" s="1050">
        <f t="shared" si="10"/>
        <v>-2.7837130655759157E-2</v>
      </c>
      <c r="J25" s="1044">
        <f t="shared" si="11"/>
        <v>-0.297873030704985</v>
      </c>
      <c r="K25" s="1045">
        <f t="shared" si="12"/>
        <v>-0.297873030704985</v>
      </c>
      <c r="L25" s="1046">
        <f t="shared" si="13"/>
        <v>-6.6227336067617312E-2</v>
      </c>
      <c r="M25" s="1158"/>
    </row>
    <row r="26" spans="2:13">
      <c r="B26" s="639" t="s">
        <v>1960</v>
      </c>
      <c r="C26" s="1040">
        <f>+Print_Mois!$L$104</f>
        <v>103716.73</v>
      </c>
      <c r="D26" s="1040">
        <f>+Print_Mois!$I$104</f>
        <v>62426.747227564832</v>
      </c>
      <c r="E26" s="1040">
        <f>+Print_Mois!$F$104</f>
        <v>62426.747227564832</v>
      </c>
      <c r="F26" s="1040">
        <f>+Print_Mois!$Q$104</f>
        <v>55072.92</v>
      </c>
      <c r="G26" s="1041">
        <f t="shared" si="10"/>
        <v>41289.982772435163</v>
      </c>
      <c r="H26" s="1042">
        <f t="shared" si="10"/>
        <v>41289.982772435163</v>
      </c>
      <c r="I26" s="1043">
        <f t="shared" si="10"/>
        <v>48643.81</v>
      </c>
      <c r="J26" s="1044">
        <f t="shared" si="11"/>
        <v>0.66141493199894563</v>
      </c>
      <c r="K26" s="1045">
        <f t="shared" si="12"/>
        <v>0.66141493199894563</v>
      </c>
      <c r="L26" s="1046">
        <f t="shared" si="13"/>
        <v>0.8832618644517124</v>
      </c>
      <c r="M26" s="1158"/>
    </row>
    <row r="27" spans="2:13">
      <c r="B27" s="639" t="s">
        <v>1961</v>
      </c>
      <c r="C27" s="1040">
        <f>+C26/C21</f>
        <v>2529.6763414634147</v>
      </c>
      <c r="D27" s="1040">
        <f t="shared" ref="D27:F27" si="16">+D26/D21</f>
        <v>1715.3996101364523</v>
      </c>
      <c r="E27" s="1040">
        <f t="shared" si="16"/>
        <v>1715.3996101364523</v>
      </c>
      <c r="F27" s="1040">
        <f t="shared" si="16"/>
        <v>1311.26</v>
      </c>
      <c r="G27" s="1041">
        <f t="shared" si="10"/>
        <v>814.27673132696236</v>
      </c>
      <c r="H27" s="1042">
        <f t="shared" si="10"/>
        <v>814.27673132696236</v>
      </c>
      <c r="I27" s="1043">
        <f t="shared" si="10"/>
        <v>1218.4163414634147</v>
      </c>
      <c r="J27" s="1044">
        <f t="shared" si="11"/>
        <v>0.47468632178492237</v>
      </c>
      <c r="K27" s="1045">
        <f t="shared" si="12"/>
        <v>0.47468632178492237</v>
      </c>
      <c r="L27" s="1046">
        <f t="shared" si="13"/>
        <v>0.92919508065785172</v>
      </c>
      <c r="M27" s="1158"/>
    </row>
    <row r="28" spans="2:13">
      <c r="B28" s="639" t="s">
        <v>1962</v>
      </c>
      <c r="C28" s="1040">
        <f>+Print_Mois!$L$112</f>
        <v>31761.74</v>
      </c>
      <c r="D28" s="1040">
        <f>+Print_Mois!$I$112</f>
        <v>18728.02416826945</v>
      </c>
      <c r="E28" s="1040">
        <f>+Print_Mois!$F$112</f>
        <v>18728.02416826945</v>
      </c>
      <c r="F28" s="1040">
        <f>+Print_Mois!$Q$112</f>
        <v>18574.12</v>
      </c>
      <c r="G28" s="1041">
        <f t="shared" si="10"/>
        <v>13033.715831730551</v>
      </c>
      <c r="H28" s="1042">
        <f t="shared" si="10"/>
        <v>13033.715831730551</v>
      </c>
      <c r="I28" s="1043">
        <f t="shared" si="10"/>
        <v>13187.620000000003</v>
      </c>
      <c r="J28" s="1044">
        <f t="shared" si="11"/>
        <v>0.69594719200615607</v>
      </c>
      <c r="K28" s="1045">
        <f t="shared" si="12"/>
        <v>0.69594719200615607</v>
      </c>
      <c r="L28" s="1046">
        <f t="shared" si="13"/>
        <v>0.70999972004057277</v>
      </c>
      <c r="M28" s="1158"/>
    </row>
    <row r="29" spans="2:13">
      <c r="B29" s="639" t="s">
        <v>1963</v>
      </c>
      <c r="C29" s="1047">
        <f>+C28/C26</f>
        <v>0.30623545497433252</v>
      </c>
      <c r="D29" s="1047">
        <f t="shared" ref="D29:F29" si="17">+D28/D26</f>
        <v>0.3</v>
      </c>
      <c r="E29" s="1047">
        <f t="shared" si="17"/>
        <v>0.3</v>
      </c>
      <c r="F29" s="1047">
        <f t="shared" si="17"/>
        <v>0.33726412182248555</v>
      </c>
      <c r="G29" s="1051">
        <f t="shared" si="10"/>
        <v>6.2354549743325327E-3</v>
      </c>
      <c r="H29" s="1045">
        <f t="shared" si="10"/>
        <v>6.2354549743325327E-3</v>
      </c>
      <c r="I29" s="1052">
        <f t="shared" si="10"/>
        <v>-3.102866684815303E-2</v>
      </c>
      <c r="J29" s="1044">
        <f t="shared" si="11"/>
        <v>2.0784849914441777E-2</v>
      </c>
      <c r="K29" s="1045">
        <f t="shared" si="12"/>
        <v>2.0784849914441777E-2</v>
      </c>
      <c r="L29" s="1046">
        <f t="shared" si="13"/>
        <v>-9.2001090066984814E-2</v>
      </c>
      <c r="M29" s="1158"/>
    </row>
    <row r="30" spans="2:13">
      <c r="B30" s="639" t="s">
        <v>1964</v>
      </c>
      <c r="C30" s="1040">
        <f>+Print_Mois!$L$121-C24-C28</f>
        <v>10681.399999999983</v>
      </c>
      <c r="D30" s="1040">
        <f>+Print_Mois!$I$121-D24-D28</f>
        <v>10371.823857062886</v>
      </c>
      <c r="E30" s="1040">
        <f>+Print_Mois!$F$121-E24-E28</f>
        <v>10371.823857062886</v>
      </c>
      <c r="F30" s="1040">
        <f>+Print_Mois!$Q$121-F24-F28</f>
        <v>10381.300000000003</v>
      </c>
      <c r="G30" s="1041">
        <f t="shared" si="10"/>
        <v>309.57614293709776</v>
      </c>
      <c r="H30" s="1042">
        <f t="shared" si="10"/>
        <v>309.57614293709776</v>
      </c>
      <c r="I30" s="1043">
        <f t="shared" si="10"/>
        <v>300.09999999998035</v>
      </c>
      <c r="J30" s="1044">
        <f t="shared" si="11"/>
        <v>2.9847801814170433E-2</v>
      </c>
      <c r="K30" s="1045">
        <f t="shared" si="12"/>
        <v>2.9847801814170433E-2</v>
      </c>
      <c r="L30" s="1046">
        <f t="shared" si="13"/>
        <v>2.890774758459733E-2</v>
      </c>
      <c r="M30" s="1158"/>
    </row>
    <row r="31" spans="2:13">
      <c r="B31" s="639" t="s">
        <v>1965</v>
      </c>
      <c r="C31" s="1040">
        <f>+C30/C21</f>
        <v>260.52195121951178</v>
      </c>
      <c r="D31" s="1040">
        <f t="shared" ref="D31:F31" si="18">+D30/D21</f>
        <v>285.00319800346034</v>
      </c>
      <c r="E31" s="1040">
        <f t="shared" si="18"/>
        <v>285.00319800346034</v>
      </c>
      <c r="F31" s="1040">
        <f t="shared" si="18"/>
        <v>247.17380952380958</v>
      </c>
      <c r="G31" s="1041">
        <f t="shared" si="10"/>
        <v>-24.481246783948563</v>
      </c>
      <c r="H31" s="1042">
        <f t="shared" si="10"/>
        <v>-24.481246783948563</v>
      </c>
      <c r="I31" s="1043">
        <f t="shared" si="10"/>
        <v>13.348141695702196</v>
      </c>
      <c r="J31" s="1044">
        <f t="shared" si="11"/>
        <v>-8.5898147653947821E-2</v>
      </c>
      <c r="K31" s="1045">
        <f t="shared" si="12"/>
        <v>-8.5898147653947821E-2</v>
      </c>
      <c r="L31" s="1046">
        <f t="shared" si="13"/>
        <v>5.4003058501294839E-2</v>
      </c>
      <c r="M31" s="1158"/>
    </row>
    <row r="32" spans="2:13">
      <c r="B32" s="639" t="s">
        <v>1966</v>
      </c>
      <c r="C32" s="1040">
        <f>+Print_Mois!$L$162</f>
        <v>14309</v>
      </c>
      <c r="D32" s="1040">
        <f>+Print_Mois!$I$162</f>
        <v>11430.713396640196</v>
      </c>
      <c r="E32" s="1040">
        <f>+Print_Mois!$F$162</f>
        <v>11430.713396640196</v>
      </c>
      <c r="F32" s="1040">
        <f>+Print_Mois!$Q$162</f>
        <v>14658</v>
      </c>
      <c r="G32" s="1041">
        <f t="shared" si="10"/>
        <v>2878.2866033598038</v>
      </c>
      <c r="H32" s="1042">
        <f t="shared" si="10"/>
        <v>2878.2866033598038</v>
      </c>
      <c r="I32" s="1043">
        <f t="shared" si="10"/>
        <v>-349</v>
      </c>
      <c r="J32" s="1044">
        <f t="shared" si="11"/>
        <v>0.251802884341918</v>
      </c>
      <c r="K32" s="1045">
        <f t="shared" si="12"/>
        <v>0.251802884341918</v>
      </c>
      <c r="L32" s="1046">
        <f t="shared" si="13"/>
        <v>-2.3809523809523808E-2</v>
      </c>
      <c r="M32" s="1158"/>
    </row>
    <row r="33" spans="2:13">
      <c r="B33" s="641" t="s">
        <v>1967</v>
      </c>
      <c r="C33" s="1053"/>
      <c r="D33" s="1053"/>
      <c r="E33" s="1053"/>
      <c r="F33" s="1053"/>
      <c r="G33" s="1054"/>
      <c r="H33" s="1055"/>
      <c r="I33" s="1056"/>
      <c r="J33" s="1057"/>
      <c r="K33" s="1058"/>
      <c r="L33" s="1059"/>
      <c r="M33" s="1158"/>
    </row>
    <row r="34" spans="2:13">
      <c r="B34" s="685" t="s">
        <v>1955</v>
      </c>
      <c r="C34" s="1060">
        <v>112</v>
      </c>
      <c r="D34" s="1060">
        <v>67</v>
      </c>
      <c r="E34" s="1060">
        <v>67</v>
      </c>
      <c r="F34" s="1060">
        <v>92</v>
      </c>
      <c r="G34" s="1041">
        <f t="shared" ref="G34:I35" si="19">+IFERROR($C34-D34,"")</f>
        <v>45</v>
      </c>
      <c r="H34" s="1042">
        <f t="shared" si="19"/>
        <v>45</v>
      </c>
      <c r="I34" s="1043">
        <f t="shared" si="19"/>
        <v>20</v>
      </c>
      <c r="J34" s="1044">
        <f>+IFERROR(G34/ABS($D34),"")</f>
        <v>0.67164179104477617</v>
      </c>
      <c r="K34" s="1045">
        <f>+IFERROR(H34/ABS($E34),"")</f>
        <v>0.67164179104477617</v>
      </c>
      <c r="L34" s="1046">
        <f>+IFERROR(I34/ABS($F34),"")</f>
        <v>0.21739130434782608</v>
      </c>
      <c r="M34" s="1158"/>
    </row>
    <row r="35" spans="2:13">
      <c r="B35" s="686" t="s">
        <v>1917</v>
      </c>
      <c r="C35" s="1061">
        <v>1977452</v>
      </c>
      <c r="D35" s="1061">
        <v>1114394</v>
      </c>
      <c r="E35" s="1061">
        <v>1114394</v>
      </c>
      <c r="F35" s="1061">
        <v>1449455</v>
      </c>
      <c r="G35" s="1062">
        <f t="shared" si="19"/>
        <v>863058</v>
      </c>
      <c r="H35" s="1063">
        <f t="shared" si="19"/>
        <v>863058</v>
      </c>
      <c r="I35" s="1064">
        <f t="shared" si="19"/>
        <v>527997</v>
      </c>
      <c r="J35" s="1065">
        <f>+IFERROR(G35/ABS($D35),"")</f>
        <v>0.77446396875790791</v>
      </c>
      <c r="K35" s="1066">
        <f>+IFERROR(H35/ABS($E35),"")</f>
        <v>0.77446396875790791</v>
      </c>
      <c r="L35" s="1067">
        <f>+IFERROR(I35/ABS($F35),"")</f>
        <v>0.36427277838911865</v>
      </c>
      <c r="M35" s="1159"/>
    </row>
    <row r="36" spans="2:13">
      <c r="C36" s="1134"/>
      <c r="D36" s="1134"/>
      <c r="E36" s="1134"/>
      <c r="F36" s="1134"/>
      <c r="G36" s="1068"/>
      <c r="H36" s="1068"/>
      <c r="I36" s="1068"/>
      <c r="J36" s="1068"/>
      <c r="K36" s="1068"/>
      <c r="L36" s="1068"/>
      <c r="M36" s="165"/>
    </row>
    <row r="37" spans="2:13">
      <c r="B37" s="654" t="s">
        <v>155</v>
      </c>
      <c r="C37" s="655" t="s">
        <v>1952</v>
      </c>
      <c r="D37" s="655" t="s">
        <v>1975</v>
      </c>
      <c r="E37" s="655" t="s">
        <v>6</v>
      </c>
      <c r="F37" s="655">
        <v>2019</v>
      </c>
      <c r="G37" s="657" t="s">
        <v>1978</v>
      </c>
      <c r="H37" s="656" t="s">
        <v>1976</v>
      </c>
      <c r="I37" s="658" t="s">
        <v>1953</v>
      </c>
      <c r="J37" s="657" t="s">
        <v>1979</v>
      </c>
      <c r="K37" s="656" t="s">
        <v>1977</v>
      </c>
      <c r="L37" s="658" t="s">
        <v>1954</v>
      </c>
      <c r="M37" s="1090" t="s">
        <v>1972</v>
      </c>
    </row>
    <row r="38" spans="2:13">
      <c r="B38" s="638" t="s">
        <v>1968</v>
      </c>
      <c r="C38" s="663">
        <f>+Print_Mois!$K$193</f>
        <v>196189.13</v>
      </c>
      <c r="D38" s="663">
        <f>+Print_Mois!$H$193</f>
        <v>247658.0299730007</v>
      </c>
      <c r="E38" s="663">
        <f>+Print_Mois!$E$193</f>
        <v>247658.0299730007</v>
      </c>
      <c r="F38" s="663">
        <f>+Print_Mois!$P$193</f>
        <v>258925.91999999995</v>
      </c>
      <c r="G38" s="665">
        <f t="shared" ref="G38:I47" si="20">+IFERROR($C38-D38,"")</f>
        <v>-51468.899973000691</v>
      </c>
      <c r="H38" s="664">
        <f t="shared" si="20"/>
        <v>-51468.899973000691</v>
      </c>
      <c r="I38" s="666">
        <f t="shared" si="20"/>
        <v>-62736.78999999995</v>
      </c>
      <c r="J38" s="674">
        <f t="shared" ref="J38:J47" si="21">+IFERROR(G38/ABS($D38),"")</f>
        <v>-0.20782245574113528</v>
      </c>
      <c r="K38" s="675">
        <f t="shared" ref="K38:K47" si="22">+IFERROR(H38/ABS($E38),"")</f>
        <v>-0.20782245574113528</v>
      </c>
      <c r="L38" s="676">
        <f t="shared" ref="L38:L47" si="23">+IFERROR(I38/ABS($F38),"")</f>
        <v>-0.24229629076918974</v>
      </c>
      <c r="M38" s="1157" t="s">
        <v>2961</v>
      </c>
    </row>
    <row r="39" spans="2:13">
      <c r="B39" s="638" t="s">
        <v>1980</v>
      </c>
      <c r="C39" s="663">
        <f>+Print_Mois!$L$193</f>
        <v>135278.67000000004</v>
      </c>
      <c r="D39" s="663">
        <f>+Print_Mois!$I$193</f>
        <v>164630.45132850812</v>
      </c>
      <c r="E39" s="663">
        <f>+Print_Mois!$F$193</f>
        <v>164630.45132850812</v>
      </c>
      <c r="F39" s="663">
        <f>+Print_Mois!$Q$193</f>
        <v>172064.03999999995</v>
      </c>
      <c r="G39" s="665">
        <f t="shared" si="20"/>
        <v>-29351.781328508077</v>
      </c>
      <c r="H39" s="664">
        <f t="shared" si="20"/>
        <v>-29351.781328508077</v>
      </c>
      <c r="I39" s="666">
        <f t="shared" si="20"/>
        <v>-36785.369999999908</v>
      </c>
      <c r="J39" s="677">
        <f t="shared" si="21"/>
        <v>-0.17828889547255586</v>
      </c>
      <c r="K39" s="678">
        <f t="shared" si="22"/>
        <v>-0.17828889547255586</v>
      </c>
      <c r="L39" s="679">
        <f t="shared" si="23"/>
        <v>-0.21378883118169212</v>
      </c>
      <c r="M39" s="1158"/>
    </row>
    <row r="40" spans="2:13">
      <c r="B40" s="639" t="s">
        <v>1981</v>
      </c>
      <c r="C40" s="1040">
        <f>+Print_Mois!$K$171/Print_Mois!$J$171</f>
        <v>230.39338414634145</v>
      </c>
      <c r="D40" s="1040">
        <f>+IFERROR(Print_Mois!$H$171/Print_Mois!$G$171,"")</f>
        <v>245.43848580441644</v>
      </c>
      <c r="E40" s="1040">
        <f>+IFERROR(Print_Mois!$E$171/Print_Mois!$D$171,"")</f>
        <v>245.43848580441644</v>
      </c>
      <c r="F40" s="1040">
        <f>+Print_Mois!$P$171/Print_Mois!$O$171</f>
        <v>247.29385474860334</v>
      </c>
      <c r="G40" s="1041">
        <f t="shared" si="20"/>
        <v>-15.045101658074998</v>
      </c>
      <c r="H40" s="1042">
        <f t="shared" si="20"/>
        <v>-15.045101658074998</v>
      </c>
      <c r="I40" s="1043">
        <f t="shared" si="20"/>
        <v>-16.90047060226189</v>
      </c>
      <c r="J40" s="1044">
        <f t="shared" si="21"/>
        <v>-6.1298869281910619E-2</v>
      </c>
      <c r="K40" s="1045">
        <f t="shared" si="22"/>
        <v>-6.1298869281910619E-2</v>
      </c>
      <c r="L40" s="1046">
        <f t="shared" si="23"/>
        <v>-6.8341652158897176E-2</v>
      </c>
      <c r="M40" s="1158"/>
    </row>
    <row r="41" spans="2:13">
      <c r="B41" s="639" t="s">
        <v>1982</v>
      </c>
      <c r="C41" s="1040">
        <f>+Print_Mois!$K$174/Print_Mois!$J$174</f>
        <v>242.45702702702704</v>
      </c>
      <c r="D41" s="1040">
        <f>+IFERROR(Print_Mois!$H$174/Print_Mois!$G$174,"")</f>
        <v>176.73400250941029</v>
      </c>
      <c r="E41" s="1040">
        <f>+IFERROR(Print_Mois!$E$174/Print_Mois!$D$174,"")</f>
        <v>176.73400250941029</v>
      </c>
      <c r="F41" s="1040">
        <f>+Print_Mois!$P$174/Print_Mois!$O$174</f>
        <v>206.70970873786408</v>
      </c>
      <c r="G41" s="1041">
        <f t="shared" si="20"/>
        <v>65.72302451761675</v>
      </c>
      <c r="H41" s="1042">
        <f t="shared" si="20"/>
        <v>65.72302451761675</v>
      </c>
      <c r="I41" s="1043">
        <f t="shared" si="20"/>
        <v>35.747318289162962</v>
      </c>
      <c r="J41" s="1044">
        <f t="shared" si="21"/>
        <v>0.37187538099306777</v>
      </c>
      <c r="K41" s="1045">
        <f t="shared" si="22"/>
        <v>0.37187538099306777</v>
      </c>
      <c r="L41" s="1046">
        <f t="shared" si="23"/>
        <v>0.17293487813141573</v>
      </c>
      <c r="M41" s="1158"/>
    </row>
    <row r="42" spans="2:13">
      <c r="B42" s="639" t="s">
        <v>1971</v>
      </c>
      <c r="C42" s="1069">
        <f>+Print_Mois!$L$183</f>
        <v>-2113.92</v>
      </c>
      <c r="D42" s="1069">
        <f>+Print_Mois!$I$183</f>
        <v>-3947.0420261874815</v>
      </c>
      <c r="E42" s="1069">
        <f>+Print_Mois!$F$183</f>
        <v>-3947.0420261874815</v>
      </c>
      <c r="F42" s="1069">
        <f>+Print_Mois!$Q$183</f>
        <v>-2108.6999999999998</v>
      </c>
      <c r="G42" s="1041">
        <f t="shared" si="20"/>
        <v>1833.1220261874814</v>
      </c>
      <c r="H42" s="1042">
        <f t="shared" si="20"/>
        <v>1833.1220261874814</v>
      </c>
      <c r="I42" s="1043">
        <f t="shared" si="20"/>
        <v>-5.2200000000002547</v>
      </c>
      <c r="J42" s="1044">
        <f t="shared" si="21"/>
        <v>0.46442931542791976</v>
      </c>
      <c r="K42" s="1045">
        <f t="shared" si="22"/>
        <v>0.46442931542791976</v>
      </c>
      <c r="L42" s="1046">
        <f t="shared" si="23"/>
        <v>-2.4754588134871035E-3</v>
      </c>
      <c r="M42" s="1158"/>
    </row>
    <row r="43" spans="2:13">
      <c r="B43" s="639" t="s">
        <v>1983</v>
      </c>
      <c r="C43" s="1040">
        <f>+Print_Mois!$L$209</f>
        <v>83603.229999999981</v>
      </c>
      <c r="D43" s="1040">
        <f>+Print_Mois!$I$209</f>
        <v>115233.15167335492</v>
      </c>
      <c r="E43" s="1040">
        <f>+Print_Mois!$F$209</f>
        <v>115233.15167335492</v>
      </c>
      <c r="F43" s="1040">
        <f>+Print_Mois!$Q$209</f>
        <v>87754.11</v>
      </c>
      <c r="G43" s="1041">
        <f t="shared" si="20"/>
        <v>-31629.92167335494</v>
      </c>
      <c r="H43" s="1042">
        <f t="shared" si="20"/>
        <v>-31629.92167335494</v>
      </c>
      <c r="I43" s="1043">
        <f t="shared" si="20"/>
        <v>-4150.8800000000192</v>
      </c>
      <c r="J43" s="1044">
        <f t="shared" si="21"/>
        <v>-0.27448630202369662</v>
      </c>
      <c r="K43" s="1045">
        <f t="shared" si="22"/>
        <v>-0.27448630202369662</v>
      </c>
      <c r="L43" s="1046">
        <f t="shared" si="23"/>
        <v>-4.7301260305642884E-2</v>
      </c>
      <c r="M43" s="1158"/>
    </row>
    <row r="44" spans="2:13">
      <c r="B44" s="640" t="s">
        <v>1984</v>
      </c>
      <c r="C44" s="1040">
        <f>+SUM(Print_Mois!$L$197:$L$203)</f>
        <v>44938.42</v>
      </c>
      <c r="D44" s="1040">
        <f>+SUM(Print_Mois!$I$197:$I$203)</f>
        <v>65190.13015851035</v>
      </c>
      <c r="E44" s="1040">
        <f>+SUM(Print_Mois!$F$197:$F$203)</f>
        <v>65190.13015851035</v>
      </c>
      <c r="F44" s="1040">
        <f>+SUM(Print_Mois!$Q$197:$Q$203)</f>
        <v>46735.82</v>
      </c>
      <c r="G44" s="1041">
        <f t="shared" si="20"/>
        <v>-20251.710158510352</v>
      </c>
      <c r="H44" s="1042">
        <f t="shared" si="20"/>
        <v>-20251.710158510352</v>
      </c>
      <c r="I44" s="1043">
        <f t="shared" si="20"/>
        <v>-1797.4000000000015</v>
      </c>
      <c r="J44" s="1044">
        <f t="shared" si="21"/>
        <v>-0.31065607798708406</v>
      </c>
      <c r="K44" s="1045">
        <f t="shared" si="22"/>
        <v>-0.31065607798708406</v>
      </c>
      <c r="L44" s="1046">
        <f t="shared" si="23"/>
        <v>-3.8458723950922473E-2</v>
      </c>
      <c r="M44" s="1158"/>
    </row>
    <row r="45" spans="2:13">
      <c r="B45" s="640" t="s">
        <v>1985</v>
      </c>
      <c r="C45" s="1040">
        <f>+SUM(Print_Mois!$L$204:$L$208)</f>
        <v>38664.81</v>
      </c>
      <c r="D45" s="1040">
        <f>+SUM(Print_Mois!$I$204:$I$208)</f>
        <v>50043.021514844579</v>
      </c>
      <c r="E45" s="1040">
        <f>+SUM(Print_Mois!$F$204:$F$208)</f>
        <v>50043.021514844579</v>
      </c>
      <c r="F45" s="1040">
        <f>+SUM(Print_Mois!$Q$204:$Q$208)</f>
        <v>41018.29</v>
      </c>
      <c r="G45" s="1041">
        <f t="shared" si="20"/>
        <v>-11378.211514844581</v>
      </c>
      <c r="H45" s="1042">
        <f t="shared" si="20"/>
        <v>-11378.211514844581</v>
      </c>
      <c r="I45" s="1043">
        <f t="shared" si="20"/>
        <v>-2353.4800000000032</v>
      </c>
      <c r="J45" s="1044">
        <f t="shared" si="21"/>
        <v>-0.2273685954687886</v>
      </c>
      <c r="K45" s="1045">
        <f t="shared" si="22"/>
        <v>-0.2273685954687886</v>
      </c>
      <c r="L45" s="1046">
        <f t="shared" si="23"/>
        <v>-5.7376355767146878E-2</v>
      </c>
      <c r="M45" s="1158"/>
    </row>
    <row r="46" spans="2:13">
      <c r="B46" s="639" t="s">
        <v>1994</v>
      </c>
      <c r="C46" s="1070">
        <f>+C43/C38</f>
        <v>0.42613589244215505</v>
      </c>
      <c r="D46" s="1070">
        <f t="shared" ref="D46:E46" si="24">+D43/D38</f>
        <v>0.46529140075093656</v>
      </c>
      <c r="E46" s="1070">
        <f t="shared" si="24"/>
        <v>0.46529140075093656</v>
      </c>
      <c r="F46" s="1070">
        <f>+F43/F38</f>
        <v>0.33891589532635441</v>
      </c>
      <c r="G46" s="1071">
        <f t="shared" si="20"/>
        <v>-3.9155508308781506E-2</v>
      </c>
      <c r="H46" s="1072">
        <f t="shared" si="20"/>
        <v>-3.9155508308781506E-2</v>
      </c>
      <c r="I46" s="1073">
        <f t="shared" si="20"/>
        <v>8.721999711580064E-2</v>
      </c>
      <c r="J46" s="1044">
        <f t="shared" si="21"/>
        <v>-8.4152658410596451E-2</v>
      </c>
      <c r="K46" s="1045">
        <f t="shared" si="22"/>
        <v>-8.4152658410596451E-2</v>
      </c>
      <c r="L46" s="1046">
        <f t="shared" si="23"/>
        <v>0.25734997478301613</v>
      </c>
      <c r="M46" s="1158"/>
    </row>
    <row r="47" spans="2:13" ht="52.5" customHeight="1">
      <c r="B47" s="667" t="s">
        <v>123</v>
      </c>
      <c r="C47" s="1074">
        <f>+Print_Mois!$L$212</f>
        <v>15745.4</v>
      </c>
      <c r="D47" s="1074">
        <f>+Print_Mois!$I$212</f>
        <v>16764.080000000002</v>
      </c>
      <c r="E47" s="1074">
        <f>+Print_Mois!$F$212</f>
        <v>16764.080000000002</v>
      </c>
      <c r="F47" s="1074">
        <f>+Print_Mois!$Q$212</f>
        <v>15377.04</v>
      </c>
      <c r="G47" s="1062">
        <f t="shared" si="20"/>
        <v>-1018.6800000000021</v>
      </c>
      <c r="H47" s="1063">
        <f t="shared" si="20"/>
        <v>-1018.6800000000021</v>
      </c>
      <c r="I47" s="1064">
        <f t="shared" si="20"/>
        <v>368.35999999999876</v>
      </c>
      <c r="J47" s="1065">
        <f t="shared" si="21"/>
        <v>-6.0765637004834262E-2</v>
      </c>
      <c r="K47" s="1066">
        <f t="shared" si="22"/>
        <v>-6.0765637004834262E-2</v>
      </c>
      <c r="L47" s="1067">
        <f t="shared" si="23"/>
        <v>2.3955195538282969E-2</v>
      </c>
      <c r="M47" s="1159"/>
    </row>
    <row r="48" spans="2:13">
      <c r="C48" s="1068"/>
      <c r="D48" s="1068"/>
      <c r="E48" s="1068"/>
      <c r="F48" s="1068"/>
      <c r="G48" s="1068"/>
      <c r="H48" s="1068"/>
      <c r="I48" s="1068"/>
      <c r="J48" s="1068"/>
      <c r="K48" s="1068"/>
      <c r="L48" s="1068"/>
      <c r="M48" s="165"/>
    </row>
    <row r="49" spans="2:13">
      <c r="B49" s="668" t="s">
        <v>1973</v>
      </c>
      <c r="C49" s="669" t="s">
        <v>1952</v>
      </c>
      <c r="D49" s="669" t="s">
        <v>1975</v>
      </c>
      <c r="E49" s="669" t="s">
        <v>6</v>
      </c>
      <c r="F49" s="669">
        <v>2019</v>
      </c>
      <c r="G49" s="671" t="s">
        <v>1978</v>
      </c>
      <c r="H49" s="670" t="s">
        <v>1976</v>
      </c>
      <c r="I49" s="672" t="s">
        <v>1953</v>
      </c>
      <c r="J49" s="671" t="s">
        <v>1979</v>
      </c>
      <c r="K49" s="670" t="s">
        <v>1977</v>
      </c>
      <c r="L49" s="672" t="s">
        <v>1954</v>
      </c>
      <c r="M49" s="1091" t="s">
        <v>1972</v>
      </c>
    </row>
    <row r="50" spans="2:13">
      <c r="B50" s="673" t="s">
        <v>1968</v>
      </c>
      <c r="C50" s="663">
        <f>+Print_Mois!$J$313</f>
        <v>324587.19999999995</v>
      </c>
      <c r="D50" s="663">
        <f>+Print_Mois!$G$313</f>
        <v>370293.51072674349</v>
      </c>
      <c r="E50" s="663">
        <f>+Print_Mois!$D$313</f>
        <v>370293.51072674349</v>
      </c>
      <c r="F50" s="663">
        <f>+Print_Mois!$O$313</f>
        <v>406858.98000000004</v>
      </c>
      <c r="G50" s="665">
        <f t="shared" ref="G50:I59" si="25">+IFERROR($C50-D50,"")</f>
        <v>-45706.310726743541</v>
      </c>
      <c r="H50" s="664">
        <f t="shared" si="25"/>
        <v>-45706.310726743541</v>
      </c>
      <c r="I50" s="666">
        <f t="shared" si="25"/>
        <v>-82271.780000000086</v>
      </c>
      <c r="J50" s="674">
        <f t="shared" ref="J50:J59" si="26">+IFERROR(G50/ABS($D50),"")</f>
        <v>-0.12343265383462881</v>
      </c>
      <c r="K50" s="675">
        <f t="shared" ref="K50:K59" si="27">+IFERROR(H50/ABS($E50),"")</f>
        <v>-0.12343265383462881</v>
      </c>
      <c r="L50" s="676">
        <f t="shared" ref="L50:L59" si="28">+IFERROR(I50/ABS($F50),"")</f>
        <v>-0.20221202933753626</v>
      </c>
      <c r="M50" s="1157" t="s">
        <v>2962</v>
      </c>
    </row>
    <row r="51" spans="2:13">
      <c r="B51" s="1075" t="s">
        <v>1969</v>
      </c>
      <c r="C51" s="1040">
        <f>+Print_Mois!$J$294</f>
        <v>73917.490000000005</v>
      </c>
      <c r="D51" s="1040">
        <f>+Print_Mois!$G$294</f>
        <v>60661.32114266479</v>
      </c>
      <c r="E51" s="1040">
        <f>+Print_Mois!$D$294</f>
        <v>60661.32114266479</v>
      </c>
      <c r="F51" s="1040">
        <f>+Print_Mois!$O$294</f>
        <v>76063.740000000005</v>
      </c>
      <c r="G51" s="1041">
        <f t="shared" si="25"/>
        <v>13256.168857335215</v>
      </c>
      <c r="H51" s="1042">
        <f t="shared" si="25"/>
        <v>13256.168857335215</v>
      </c>
      <c r="I51" s="1043">
        <f t="shared" si="25"/>
        <v>-2146.25</v>
      </c>
      <c r="J51" s="1044">
        <f t="shared" si="26"/>
        <v>0.21852753299188835</v>
      </c>
      <c r="K51" s="1045">
        <f t="shared" si="27"/>
        <v>0.21852753299188835</v>
      </c>
      <c r="L51" s="1046">
        <f t="shared" si="28"/>
        <v>-2.8216466873703553E-2</v>
      </c>
      <c r="M51" s="1158"/>
    </row>
    <row r="52" spans="2:13">
      <c r="B52" s="1075" t="s">
        <v>1970</v>
      </c>
      <c r="C52" s="1040">
        <f>+Print_Mois!$J$296</f>
        <v>64208.3</v>
      </c>
      <c r="D52" s="1040">
        <f>+Print_Mois!$G$296</f>
        <v>93288.902236146867</v>
      </c>
      <c r="E52" s="1040">
        <f>+Print_Mois!$D$296</f>
        <v>93288.902236146867</v>
      </c>
      <c r="F52" s="1040">
        <f>+Print_Mois!$O$296</f>
        <v>86754.48</v>
      </c>
      <c r="G52" s="1041">
        <f t="shared" si="25"/>
        <v>-29080.602236146864</v>
      </c>
      <c r="H52" s="1042">
        <f t="shared" si="25"/>
        <v>-29080.602236146864</v>
      </c>
      <c r="I52" s="1043">
        <f t="shared" si="25"/>
        <v>-22546.179999999993</v>
      </c>
      <c r="J52" s="1044">
        <f t="shared" si="26"/>
        <v>-0.3117262776073158</v>
      </c>
      <c r="K52" s="1045">
        <f t="shared" si="27"/>
        <v>-0.3117262776073158</v>
      </c>
      <c r="L52" s="1046">
        <f t="shared" si="28"/>
        <v>-0.2598849073846099</v>
      </c>
      <c r="M52" s="1158"/>
    </row>
    <row r="53" spans="2:13">
      <c r="B53" s="1075" t="s">
        <v>1986</v>
      </c>
      <c r="C53" s="1040">
        <f>+Print_Mois!$J$299</f>
        <v>55314.11</v>
      </c>
      <c r="D53" s="1040">
        <f>+Print_Mois!$G$299</f>
        <v>51653.179368916273</v>
      </c>
      <c r="E53" s="1040">
        <f>+Print_Mois!$D$299</f>
        <v>51653.179368916273</v>
      </c>
      <c r="F53" s="1040">
        <f>+Print_Mois!$O$299</f>
        <v>51384.69</v>
      </c>
      <c r="G53" s="1041">
        <f t="shared" si="25"/>
        <v>3660.9306310837273</v>
      </c>
      <c r="H53" s="1042">
        <f t="shared" si="25"/>
        <v>3660.9306310837273</v>
      </c>
      <c r="I53" s="1043">
        <f t="shared" si="25"/>
        <v>3929.4199999999983</v>
      </c>
      <c r="J53" s="1044">
        <f t="shared" si="26"/>
        <v>7.0875223477275304E-2</v>
      </c>
      <c r="K53" s="1045">
        <f t="shared" si="27"/>
        <v>7.0875223477275304E-2</v>
      </c>
      <c r="L53" s="1046">
        <f t="shared" si="28"/>
        <v>7.647063746030186E-2</v>
      </c>
      <c r="M53" s="1158"/>
    </row>
    <row r="54" spans="2:13">
      <c r="B54" s="1075" t="s">
        <v>1987</v>
      </c>
      <c r="C54" s="1040">
        <f>+Print_Mois!$J$306</f>
        <v>26431.119999999999</v>
      </c>
      <c r="D54" s="1040">
        <f>+Print_Mois!$G$306</f>
        <v>18211.2175369998</v>
      </c>
      <c r="E54" s="1040">
        <f>+Print_Mois!$D$306</f>
        <v>18211.2175369998</v>
      </c>
      <c r="F54" s="1040">
        <f>+Print_Mois!$O$306</f>
        <v>16404.080000000002</v>
      </c>
      <c r="G54" s="1041">
        <f t="shared" si="25"/>
        <v>8219.9024630001986</v>
      </c>
      <c r="H54" s="1042">
        <f t="shared" si="25"/>
        <v>8219.9024630001986</v>
      </c>
      <c r="I54" s="1043">
        <f t="shared" si="25"/>
        <v>10027.039999999997</v>
      </c>
      <c r="J54" s="1044">
        <f t="shared" si="26"/>
        <v>0.45136479459980045</v>
      </c>
      <c r="K54" s="1045">
        <f t="shared" si="27"/>
        <v>0.45136479459980045</v>
      </c>
      <c r="L54" s="1046">
        <f t="shared" si="28"/>
        <v>0.61125281027646761</v>
      </c>
      <c r="M54" s="1158"/>
    </row>
    <row r="55" spans="2:13">
      <c r="B55" s="1075" t="s">
        <v>1988</v>
      </c>
      <c r="C55" s="1040">
        <f>+C50-SUM(C51:C54)</f>
        <v>104716.17999999993</v>
      </c>
      <c r="D55" s="1040">
        <f t="shared" ref="D55:F55" si="29">+D50-SUM(D51:D54)</f>
        <v>146478.89044201578</v>
      </c>
      <c r="E55" s="1040">
        <f t="shared" si="29"/>
        <v>146478.89044201578</v>
      </c>
      <c r="F55" s="1040">
        <f t="shared" si="29"/>
        <v>176251.99000000005</v>
      </c>
      <c r="G55" s="1041">
        <f t="shared" si="25"/>
        <v>-41762.710442015843</v>
      </c>
      <c r="H55" s="1042">
        <f t="shared" si="25"/>
        <v>-41762.710442015843</v>
      </c>
      <c r="I55" s="1043">
        <f t="shared" si="25"/>
        <v>-71535.810000000114</v>
      </c>
      <c r="J55" s="1044">
        <f t="shared" si="26"/>
        <v>-0.2851107781878493</v>
      </c>
      <c r="K55" s="1045">
        <f t="shared" si="27"/>
        <v>-0.2851107781878493</v>
      </c>
      <c r="L55" s="1046">
        <f t="shared" si="28"/>
        <v>-0.40587235355470364</v>
      </c>
      <c r="M55" s="1158"/>
    </row>
    <row r="56" spans="2:13">
      <c r="B56" s="638" t="s">
        <v>1980</v>
      </c>
      <c r="C56" s="663">
        <f>+Print_Mois!$L$313</f>
        <v>92766.780000000013</v>
      </c>
      <c r="D56" s="663">
        <f>+Print_Mois!$I$313</f>
        <v>112234.27730971071</v>
      </c>
      <c r="E56" s="663">
        <f>+Print_Mois!$F$313</f>
        <v>112234.27730971071</v>
      </c>
      <c r="F56" s="663">
        <f>+Print_Mois!$Q$313</f>
        <v>115462.82</v>
      </c>
      <c r="G56" s="665">
        <f t="shared" si="25"/>
        <v>-19467.497309710699</v>
      </c>
      <c r="H56" s="664">
        <f t="shared" si="25"/>
        <v>-19467.497309710699</v>
      </c>
      <c r="I56" s="666">
        <f t="shared" si="25"/>
        <v>-22696.039999999994</v>
      </c>
      <c r="J56" s="677">
        <f t="shared" si="26"/>
        <v>-0.17345411559064172</v>
      </c>
      <c r="K56" s="678">
        <f t="shared" si="27"/>
        <v>-0.17345411559064172</v>
      </c>
      <c r="L56" s="679">
        <f t="shared" si="28"/>
        <v>-0.19656578628514348</v>
      </c>
      <c r="M56" s="1158"/>
    </row>
    <row r="57" spans="2:13">
      <c r="B57" s="639" t="s">
        <v>1981</v>
      </c>
      <c r="C57" s="1040">
        <f>+Print_Mois!$J$294/Print_Mois!$J$171</f>
        <v>225.35820121951221</v>
      </c>
      <c r="D57" s="1040">
        <f>+IFERROR(Print_Mois!$G$294/Print_Mois!$G$171,"")</f>
        <v>164.13796077978444</v>
      </c>
      <c r="E57" s="1040">
        <f>+IFERROR(Print_Mois!$D$294/Print_Mois!$D$171,"")</f>
        <v>164.13796077978444</v>
      </c>
      <c r="F57" s="1040">
        <f>+Print_Mois!$O$294/Print_Mois!$O$171</f>
        <v>212.46854748603354</v>
      </c>
      <c r="G57" s="1041">
        <f t="shared" si="25"/>
        <v>61.220240439727775</v>
      </c>
      <c r="H57" s="1042">
        <f t="shared" si="25"/>
        <v>61.220240439727775</v>
      </c>
      <c r="I57" s="1043">
        <f t="shared" si="25"/>
        <v>12.889653733478667</v>
      </c>
      <c r="J57" s="1044">
        <f t="shared" si="26"/>
        <v>0.37298038886850715</v>
      </c>
      <c r="K57" s="1045">
        <f t="shared" si="27"/>
        <v>0.37298038886850715</v>
      </c>
      <c r="L57" s="1046">
        <f t="shared" si="28"/>
        <v>6.0666173351262537E-2</v>
      </c>
      <c r="M57" s="1158"/>
    </row>
    <row r="58" spans="2:13">
      <c r="B58" s="639" t="s">
        <v>1982</v>
      </c>
      <c r="C58" s="1040">
        <f>+Print_Mois!$J$296/Print_Mois!$J$174</f>
        <v>347.07189189189188</v>
      </c>
      <c r="D58" s="1040">
        <f>+IFERROR(Print_Mois!$G$296/Print_Mois!$G$174,"")</f>
        <v>216.80073874803622</v>
      </c>
      <c r="E58" s="1040">
        <f>+IFERROR(Print_Mois!$D$296/Print_Mois!$D$174,"")</f>
        <v>216.80073874803622</v>
      </c>
      <c r="F58" s="1040">
        <f>+Print_Mois!$O$296/Print_Mois!$O$174</f>
        <v>210.56912621359223</v>
      </c>
      <c r="G58" s="1041">
        <f t="shared" si="25"/>
        <v>130.27115314385566</v>
      </c>
      <c r="H58" s="1042">
        <f t="shared" si="25"/>
        <v>130.27115314385566</v>
      </c>
      <c r="I58" s="1043">
        <f t="shared" si="25"/>
        <v>136.50276567829965</v>
      </c>
      <c r="J58" s="1044">
        <f t="shared" si="26"/>
        <v>0.60087965518999253</v>
      </c>
      <c r="K58" s="1045">
        <f t="shared" si="27"/>
        <v>0.60087965518999253</v>
      </c>
      <c r="L58" s="1046">
        <f t="shared" si="28"/>
        <v>0.6482563143650848</v>
      </c>
      <c r="M58" s="1158"/>
    </row>
    <row r="59" spans="2:13">
      <c r="B59" s="667" t="s">
        <v>114</v>
      </c>
      <c r="C59" s="1074">
        <f>+Print_Mois!$L$319</f>
        <v>17949.509999999998</v>
      </c>
      <c r="D59" s="1074">
        <f>+Print_Mois!$I$319</f>
        <v>16566.671412622221</v>
      </c>
      <c r="E59" s="1074">
        <f>+Print_Mois!$F$319</f>
        <v>16566.671412622221</v>
      </c>
      <c r="F59" s="1074">
        <f>+Print_Mois!$Q$319</f>
        <v>15813.12</v>
      </c>
      <c r="G59" s="1062">
        <f t="shared" si="25"/>
        <v>1382.838587377777</v>
      </c>
      <c r="H59" s="1063">
        <f t="shared" si="25"/>
        <v>1382.838587377777</v>
      </c>
      <c r="I59" s="1064">
        <f t="shared" si="25"/>
        <v>2136.3899999999976</v>
      </c>
      <c r="J59" s="1065">
        <f t="shared" si="26"/>
        <v>8.3471118182750104E-2</v>
      </c>
      <c r="K59" s="1066">
        <f t="shared" si="27"/>
        <v>8.3471118182750104E-2</v>
      </c>
      <c r="L59" s="1067">
        <f t="shared" si="28"/>
        <v>0.13510237068965503</v>
      </c>
      <c r="M59" s="1159"/>
    </row>
    <row r="60" spans="2:13">
      <c r="M60" s="165"/>
    </row>
    <row r="61" spans="2:13">
      <c r="B61" s="680" t="s">
        <v>1989</v>
      </c>
      <c r="C61" s="681" t="s">
        <v>1952</v>
      </c>
      <c r="D61" s="681" t="s">
        <v>1975</v>
      </c>
      <c r="E61" s="681" t="s">
        <v>6</v>
      </c>
      <c r="F61" s="681">
        <v>2019</v>
      </c>
      <c r="G61" s="683" t="s">
        <v>1978</v>
      </c>
      <c r="H61" s="682" t="s">
        <v>1976</v>
      </c>
      <c r="I61" s="684" t="s">
        <v>1953</v>
      </c>
      <c r="J61" s="683" t="s">
        <v>1979</v>
      </c>
      <c r="K61" s="682" t="s">
        <v>1977</v>
      </c>
      <c r="L61" s="684" t="s">
        <v>1954</v>
      </c>
      <c r="M61" s="1092" t="s">
        <v>1972</v>
      </c>
    </row>
    <row r="62" spans="2:13" ht="15" customHeight="1">
      <c r="B62" s="1076" t="s">
        <v>1990</v>
      </c>
      <c r="C62" s="1070">
        <f>+Print_Mois!$AF$432/Print_Mois!$AF$406</f>
        <v>0.38967287744599005</v>
      </c>
      <c r="D62" s="1070">
        <f>+Print_Mois!$AC$432/Print_Mois!$AC$406</f>
        <v>0.49851136664925927</v>
      </c>
      <c r="E62" s="1070">
        <f>+Print_Mois!$Z$432/Print_Mois!$Z$406</f>
        <v>0.49851136664925927</v>
      </c>
      <c r="F62" s="1070">
        <f>+Print_Mois!$AL$432/Print_Mois!$AL$406</f>
        <v>0.53567136698633377</v>
      </c>
      <c r="G62" s="1071">
        <f t="shared" ref="G62:I67" si="30">+IFERROR($C62-D62,"")</f>
        <v>-0.10883848920326922</v>
      </c>
      <c r="H62" s="1072">
        <f t="shared" si="30"/>
        <v>-0.10883848920326922</v>
      </c>
      <c r="I62" s="1073">
        <f t="shared" si="30"/>
        <v>-0.14599848954034372</v>
      </c>
      <c r="J62" s="1044">
        <f t="shared" ref="J62:J67" si="31">+IFERROR(G62/ABS($D62),"")</f>
        <v>-0.2183269961020676</v>
      </c>
      <c r="K62" s="1045">
        <f t="shared" ref="K62:K67" si="32">+IFERROR(H62/ABS($E62),"")</f>
        <v>-0.2183269961020676</v>
      </c>
      <c r="L62" s="1046">
        <f t="shared" ref="L62:L67" si="33">+IFERROR(I62/ABS($F62),"")</f>
        <v>-0.27255234932889083</v>
      </c>
      <c r="M62" s="1157" t="s">
        <v>2963</v>
      </c>
    </row>
    <row r="63" spans="2:13">
      <c r="B63" s="1077" t="s">
        <v>1991</v>
      </c>
      <c r="C63" s="1078">
        <v>48</v>
      </c>
      <c r="D63" s="1078">
        <v>51</v>
      </c>
      <c r="E63" s="1078">
        <v>50.8</v>
      </c>
      <c r="F63" s="1078">
        <v>54</v>
      </c>
      <c r="G63" s="1079">
        <f t="shared" si="30"/>
        <v>-3</v>
      </c>
      <c r="H63" s="1080">
        <f t="shared" si="30"/>
        <v>-2.7999999999999972</v>
      </c>
      <c r="I63" s="1081">
        <f t="shared" si="30"/>
        <v>-6</v>
      </c>
      <c r="J63" s="1044">
        <f t="shared" si="31"/>
        <v>-5.8823529411764705E-2</v>
      </c>
      <c r="K63" s="1045">
        <f t="shared" si="32"/>
        <v>-5.5118110236220416E-2</v>
      </c>
      <c r="L63" s="1046">
        <f t="shared" si="33"/>
        <v>-0.1111111111111111</v>
      </c>
      <c r="M63" s="1158"/>
    </row>
    <row r="64" spans="2:13">
      <c r="B64" s="1076" t="s">
        <v>1974</v>
      </c>
      <c r="C64" s="1040">
        <f>+Print_Mois!$AF$413+Print_Mois!$AF$433</f>
        <v>21593.690000000002</v>
      </c>
      <c r="D64" s="1040">
        <f>+Print_Mois!$AC$413+Print_Mois!$AC$433</f>
        <v>23605.431387305143</v>
      </c>
      <c r="E64" s="1040">
        <f>+Print_Mois!$Z$413+Print_Mois!$Z$433</f>
        <v>23605.431387305143</v>
      </c>
      <c r="F64" s="1040">
        <f>+Print_Mois!$AL$413+Print_Mois!$AL$433</f>
        <v>34016.69</v>
      </c>
      <c r="G64" s="1041">
        <f t="shared" si="30"/>
        <v>-2011.741387305141</v>
      </c>
      <c r="H64" s="1042">
        <f t="shared" si="30"/>
        <v>-2011.741387305141</v>
      </c>
      <c r="I64" s="1043">
        <f t="shared" si="30"/>
        <v>-12423</v>
      </c>
      <c r="J64" s="1044">
        <f t="shared" si="31"/>
        <v>-8.5223665447903788E-2</v>
      </c>
      <c r="K64" s="1045">
        <f t="shared" si="32"/>
        <v>-8.5223665447903788E-2</v>
      </c>
      <c r="L64" s="1046">
        <f t="shared" si="33"/>
        <v>-0.36520308119337885</v>
      </c>
      <c r="M64" s="1158"/>
    </row>
    <row r="65" spans="2:13">
      <c r="B65" s="1076" t="s">
        <v>1993</v>
      </c>
      <c r="C65" s="1040">
        <f>+Print_Mois!$AF$451-Print_Mois!$AF$433</f>
        <v>78526.44</v>
      </c>
      <c r="D65" s="1040">
        <f>+Print_Mois!$AC$451-Print_Mois!$AC$433</f>
        <v>102372.98061312785</v>
      </c>
      <c r="E65" s="1040">
        <f>+Print_Mois!$Z$451-Print_Mois!$Z$433</f>
        <v>102372.98061312785</v>
      </c>
      <c r="F65" s="1040">
        <f>+Print_Mois!$AL$451-Print_Mois!$AL$433</f>
        <v>117273.1</v>
      </c>
      <c r="G65" s="1041">
        <f t="shared" si="30"/>
        <v>-23846.540613127843</v>
      </c>
      <c r="H65" s="1042">
        <f t="shared" si="30"/>
        <v>-23846.540613127843</v>
      </c>
      <c r="I65" s="1043">
        <f t="shared" si="30"/>
        <v>-38746.660000000003</v>
      </c>
      <c r="J65" s="1044">
        <f t="shared" si="31"/>
        <v>-0.23293783643210514</v>
      </c>
      <c r="K65" s="1045">
        <f t="shared" si="32"/>
        <v>-0.23293783643210514</v>
      </c>
      <c r="L65" s="1046">
        <f t="shared" si="33"/>
        <v>-0.33039682587055347</v>
      </c>
      <c r="M65" s="1158"/>
    </row>
    <row r="66" spans="2:13">
      <c r="B66" s="1076" t="s">
        <v>1992</v>
      </c>
      <c r="C66" s="1040">
        <f>+Print_Mois!$AF$414</f>
        <v>11210.04</v>
      </c>
      <c r="D66" s="1040">
        <f>+Print_Mois!$AC$414</f>
        <v>16120.982651349028</v>
      </c>
      <c r="E66" s="1040">
        <f>+Print_Mois!$Z$414</f>
        <v>16120.982651349028</v>
      </c>
      <c r="F66" s="1040">
        <f>+Print_Mois!$AL$414</f>
        <v>23423.78</v>
      </c>
      <c r="G66" s="1041">
        <f t="shared" si="30"/>
        <v>-4910.9426513490271</v>
      </c>
      <c r="H66" s="1042">
        <f t="shared" si="30"/>
        <v>-4910.9426513490271</v>
      </c>
      <c r="I66" s="1043">
        <f t="shared" si="30"/>
        <v>-12213.739999999998</v>
      </c>
      <c r="J66" s="1044">
        <f t="shared" si="31"/>
        <v>-0.30463047802722326</v>
      </c>
      <c r="K66" s="1045">
        <f t="shared" si="32"/>
        <v>-0.30463047802722326</v>
      </c>
      <c r="L66" s="1046">
        <f t="shared" si="33"/>
        <v>-0.52142480846387729</v>
      </c>
      <c r="M66" s="1158"/>
    </row>
    <row r="67" spans="2:13">
      <c r="B67" s="1082" t="s">
        <v>1995</v>
      </c>
      <c r="C67" s="1074">
        <f>+Print_Mois!$AF$480-C32-C15</f>
        <v>1082.4700000000012</v>
      </c>
      <c r="D67" s="1074">
        <f>+Print_Mois!$AC$480-D32-D15</f>
        <v>0</v>
      </c>
      <c r="E67" s="1074">
        <f>+Print_Mois!$Z$480-E32-E15</f>
        <v>0</v>
      </c>
      <c r="F67" s="1074">
        <f>+Print_Mois!$AL$480-F32-F15</f>
        <v>860.07000000000698</v>
      </c>
      <c r="G67" s="1062">
        <f t="shared" si="30"/>
        <v>1082.4700000000012</v>
      </c>
      <c r="H67" s="1063">
        <f t="shared" si="30"/>
        <v>1082.4700000000012</v>
      </c>
      <c r="I67" s="1064">
        <f t="shared" si="30"/>
        <v>222.39999999999418</v>
      </c>
      <c r="J67" s="1065" t="str">
        <f t="shared" si="31"/>
        <v/>
      </c>
      <c r="K67" s="1066" t="str">
        <f t="shared" si="32"/>
        <v/>
      </c>
      <c r="L67" s="1067">
        <f t="shared" si="33"/>
        <v>0.25858360366015831</v>
      </c>
      <c r="M67" s="1158"/>
    </row>
    <row r="68" spans="2:13">
      <c r="M68" s="165"/>
    </row>
    <row r="69" spans="2:13">
      <c r="B69" s="987" t="s">
        <v>2887</v>
      </c>
      <c r="C69" s="988" t="s">
        <v>1952</v>
      </c>
      <c r="D69" s="988" t="s">
        <v>1975</v>
      </c>
      <c r="E69" s="988" t="s">
        <v>6</v>
      </c>
      <c r="F69" s="988">
        <v>2019</v>
      </c>
      <c r="G69" s="989" t="s">
        <v>1978</v>
      </c>
      <c r="H69" s="990" t="s">
        <v>1976</v>
      </c>
      <c r="I69" s="991" t="s">
        <v>1953</v>
      </c>
      <c r="J69" s="989" t="s">
        <v>1979</v>
      </c>
      <c r="K69" s="990" t="s">
        <v>1977</v>
      </c>
      <c r="L69" s="991" t="s">
        <v>1954</v>
      </c>
      <c r="M69" s="1093" t="s">
        <v>1972</v>
      </c>
    </row>
    <row r="70" spans="2:13">
      <c r="B70" s="992" t="s">
        <v>2888</v>
      </c>
      <c r="C70" s="1083">
        <f>+Print_Mois!$AF$418-Print_Mois!$AF$414+Print_Mois!$AF$433+Print_Mois!$AF$434+Print_Mois!$AF$435</f>
        <v>186126.88000000003</v>
      </c>
      <c r="D70" s="1083">
        <f>+Print_Mois!$AC$418-Print_Mois!$AC$414+Print_Mois!$AC$433+Print_Mois!$AC$434+Print_Mois!$AC$435</f>
        <v>154782.12677554251</v>
      </c>
      <c r="E70" s="1083">
        <f>+Print_Mois!$Z$418-Print_Mois!$Z$414+Print_Mois!$Z$433+Print_Mois!$Z$434+Print_Mois!$Z$435</f>
        <v>154782.12677554251</v>
      </c>
      <c r="F70" s="1083">
        <f>+Print_Mois!$AL$418-Print_Mois!$AL$414+Print_Mois!$AL$433+Print_Mois!$AL$434+Print_Mois!$AL$435</f>
        <v>178550.44000000003</v>
      </c>
      <c r="G70" s="993">
        <f t="shared" ref="G70:I77" si="34">+IFERROR($C70-D70,"")</f>
        <v>31344.753224457527</v>
      </c>
      <c r="H70" s="994">
        <f t="shared" si="34"/>
        <v>31344.753224457527</v>
      </c>
      <c r="I70" s="995">
        <f t="shared" si="34"/>
        <v>7576.4400000000023</v>
      </c>
      <c r="J70" s="1044">
        <f t="shared" ref="J70:J77" si="35">+IFERROR(G70/ABS($D70),"")</f>
        <v>0.20250886764149559</v>
      </c>
      <c r="K70" s="1045">
        <f t="shared" ref="K70:K77" si="36">+IFERROR(H70/ABS($E70),"")</f>
        <v>0.20250886764149559</v>
      </c>
      <c r="L70" s="1046">
        <f t="shared" ref="L70:L77" si="37">+IFERROR(I70/ABS($F70),"")</f>
        <v>4.2433051411130664E-2</v>
      </c>
      <c r="M70" s="1157"/>
    </row>
    <row r="71" spans="2:13">
      <c r="B71" s="992" t="s">
        <v>2889</v>
      </c>
      <c r="C71" s="1070">
        <f>+C70/Print_Mois!$AF$406</f>
        <v>0.30504326604760079</v>
      </c>
      <c r="D71" s="1070">
        <f>+D70/Print_Mois!$AC$406</f>
        <v>0.28569243042388437</v>
      </c>
      <c r="E71" s="1070">
        <f>+E70/Print_Mois!$Z$406</f>
        <v>0.28569243042388437</v>
      </c>
      <c r="F71" s="1070">
        <f>+F70/Print_Mois!$AL$406</f>
        <v>0.35494014636498838</v>
      </c>
      <c r="G71" s="996">
        <f t="shared" si="34"/>
        <v>1.9350835623716423E-2</v>
      </c>
      <c r="H71" s="997">
        <f t="shared" si="34"/>
        <v>1.9350835623716423E-2</v>
      </c>
      <c r="I71" s="998">
        <f t="shared" si="34"/>
        <v>-4.9896880317387593E-2</v>
      </c>
      <c r="J71" s="1044">
        <f t="shared" si="35"/>
        <v>6.7733105826449161E-2</v>
      </c>
      <c r="K71" s="1045">
        <f t="shared" si="36"/>
        <v>6.7733105826449161E-2</v>
      </c>
      <c r="L71" s="1046">
        <f t="shared" si="37"/>
        <v>-0.1405782941952082</v>
      </c>
      <c r="M71" s="1158"/>
    </row>
    <row r="72" spans="2:13">
      <c r="B72" s="992" t="s">
        <v>2890</v>
      </c>
      <c r="C72" s="1040">
        <f>+Print_Mois!$AF$465+Print_Mois!$AF$432+Print_Mois!$AF$436+Print_Mois!$AF$438+SUM(Print_Mois!$AF$439:$AF$447)+Print_Mois!$AF$437</f>
        <v>339085.9</v>
      </c>
      <c r="D72" s="1040">
        <f>+Print_Mois!$AC$465+Print_Mois!$AC$432+Print_Mois!$AC$436+Print_Mois!$AC$438+SUM(Print_Mois!$AC$439:$AC$447)+Print_Mois!$AC$437</f>
        <v>390268.87109302497</v>
      </c>
      <c r="E72" s="1040">
        <f>+Print_Mois!$Z$465+Print_Mois!$Z$432+Print_Mois!$Z$436+Print_Mois!$Z$438+SUM(Print_Mois!$Z$439:$Z$447)+Print_Mois!$Z$437</f>
        <v>390268.87109302497</v>
      </c>
      <c r="F72" s="1040">
        <f>+Print_Mois!$AL$465+Print_Mois!$AL$432+Print_Mois!$AL$436+Print_Mois!$AL$438+SUM(Print_Mois!$AL$439:$AL$447)+Print_Mois!$AL$437</f>
        <v>403315.57</v>
      </c>
      <c r="G72" s="999">
        <f t="shared" si="34"/>
        <v>-51182.971093024942</v>
      </c>
      <c r="H72" s="1000">
        <f t="shared" si="34"/>
        <v>-51182.971093024942</v>
      </c>
      <c r="I72" s="1001">
        <f t="shared" si="34"/>
        <v>-64229.669999999984</v>
      </c>
      <c r="J72" s="1044">
        <f t="shared" si="35"/>
        <v>-0.13114797229324732</v>
      </c>
      <c r="K72" s="1045">
        <f>+IFERROR(H72/ABS($E72),"")</f>
        <v>-0.13114797229324732</v>
      </c>
      <c r="L72" s="1046">
        <f t="shared" si="37"/>
        <v>-0.1592541294649249</v>
      </c>
      <c r="M72" s="1158"/>
    </row>
    <row r="73" spans="2:13">
      <c r="B73" s="992" t="s">
        <v>2891</v>
      </c>
      <c r="C73" s="1070">
        <f>+C72/Print_Mois!$AF$406</f>
        <v>0.5557277401667623</v>
      </c>
      <c r="D73" s="1070">
        <f>+D72/Print_Mois!$AC$406</f>
        <v>0.72034713971232112</v>
      </c>
      <c r="E73" s="1070">
        <f>+E72/Print_Mois!$Z$406</f>
        <v>0.72034713971232112</v>
      </c>
      <c r="F73" s="1070">
        <f>+F72/Print_Mois!$AL$406</f>
        <v>0.80175040423915334</v>
      </c>
      <c r="G73" s="996">
        <f t="shared" si="34"/>
        <v>-0.16461939954555882</v>
      </c>
      <c r="H73" s="997">
        <f t="shared" si="34"/>
        <v>-0.16461939954555882</v>
      </c>
      <c r="I73" s="998">
        <f t="shared" si="34"/>
        <v>-0.24602266407239104</v>
      </c>
      <c r="J73" s="1044">
        <f t="shared" si="35"/>
        <v>-0.22852787284100479</v>
      </c>
      <c r="K73" s="1045">
        <f t="shared" si="36"/>
        <v>-0.22852787284100479</v>
      </c>
      <c r="L73" s="1046">
        <f t="shared" si="37"/>
        <v>-0.30685692551145277</v>
      </c>
      <c r="M73" s="1158"/>
    </row>
    <row r="74" spans="2:13" s="1006" customFormat="1">
      <c r="B74" s="673" t="s">
        <v>2892</v>
      </c>
      <c r="C74" s="663">
        <f>+Print_Mois!$AF$482+Print_Mois!$AF$414</f>
        <v>178343.19999999995</v>
      </c>
      <c r="D74" s="663">
        <f>+Print_Mois!$AC$482+Print_Mois!$AC$414</f>
        <v>86854.561283940246</v>
      </c>
      <c r="E74" s="663">
        <f>+Print_Mois!$Z$482+Print_Mois!$Z$414</f>
        <v>86854.561283940246</v>
      </c>
      <c r="F74" s="663">
        <f>+Print_Mois!$AL$482+Print_Mois!$AL$414</f>
        <v>111493.2500000002</v>
      </c>
      <c r="G74" s="665">
        <f t="shared" si="34"/>
        <v>91488.638716059708</v>
      </c>
      <c r="H74" s="664">
        <f t="shared" si="34"/>
        <v>91488.638716059708</v>
      </c>
      <c r="I74" s="666">
        <f t="shared" si="34"/>
        <v>66849.94999999975</v>
      </c>
      <c r="J74" s="677">
        <f t="shared" si="35"/>
        <v>1.0533544509766157</v>
      </c>
      <c r="K74" s="678">
        <f t="shared" si="36"/>
        <v>1.0533544509766157</v>
      </c>
      <c r="L74" s="679">
        <f t="shared" si="37"/>
        <v>0.59958741896930645</v>
      </c>
      <c r="M74" s="1158"/>
    </row>
    <row r="75" spans="2:13">
      <c r="B75" s="639" t="s">
        <v>2893</v>
      </c>
      <c r="C75" s="1084">
        <f>+C74/Print_Mois!$AF$405</f>
        <v>3.473384740894158E-2</v>
      </c>
      <c r="D75" s="1084">
        <f>+D74/Print_Mois!$AC$405</f>
        <v>3.3976520914805478E-2</v>
      </c>
      <c r="E75" s="1084">
        <f>+E74/Print_Mois!$Z$405</f>
        <v>3.3976520914805478E-2</v>
      </c>
      <c r="F75" s="1084">
        <f>+F74/Print_Mois!$AL$405</f>
        <v>2.6637343809437098E-2</v>
      </c>
      <c r="G75" s="996">
        <f t="shared" si="34"/>
        <v>7.573264941361027E-4</v>
      </c>
      <c r="H75" s="997">
        <f t="shared" si="34"/>
        <v>7.573264941361027E-4</v>
      </c>
      <c r="I75" s="998">
        <f t="shared" si="34"/>
        <v>8.0965035995044822E-3</v>
      </c>
      <c r="J75" s="1044">
        <f t="shared" si="35"/>
        <v>2.2289701056652126E-2</v>
      </c>
      <c r="K75" s="1045">
        <f t="shared" si="36"/>
        <v>2.2289701056652126E-2</v>
      </c>
      <c r="L75" s="1046">
        <f t="shared" si="37"/>
        <v>0.30395311399765196</v>
      </c>
      <c r="M75" s="1158"/>
    </row>
    <row r="76" spans="2:13" s="1006" customFormat="1">
      <c r="B76" s="673" t="s">
        <v>2894</v>
      </c>
      <c r="C76" s="663">
        <f>+Print_Mois!$AF$497</f>
        <v>161351.10999999996</v>
      </c>
      <c r="D76" s="663">
        <f>+Print_Mois!$AC$497</f>
        <v>60538.608171441236</v>
      </c>
      <c r="E76" s="663">
        <f>+Print_Mois!$Z$497</f>
        <v>60538.608171441236</v>
      </c>
      <c r="F76" s="663">
        <f>+Print_Mois!$AL$497</f>
        <v>72752.830000000205</v>
      </c>
      <c r="G76" s="665">
        <f t="shared" si="34"/>
        <v>100812.50182855871</v>
      </c>
      <c r="H76" s="664">
        <f t="shared" si="34"/>
        <v>100812.50182855871</v>
      </c>
      <c r="I76" s="666">
        <f>+IFERROR($C76-F76,"")</f>
        <v>88598.279999999751</v>
      </c>
      <c r="J76" s="677">
        <f t="shared" si="35"/>
        <v>1.6652596561695727</v>
      </c>
      <c r="K76" s="678">
        <f t="shared" si="36"/>
        <v>1.6652596561695727</v>
      </c>
      <c r="L76" s="679">
        <f t="shared" si="37"/>
        <v>1.2177984004196056</v>
      </c>
      <c r="M76" s="1158"/>
    </row>
    <row r="77" spans="2:13">
      <c r="B77" s="1002" t="s">
        <v>2895</v>
      </c>
      <c r="C77" s="1085">
        <f>+C76/Print_Mois!$AF$405</f>
        <v>3.142449408782251E-2</v>
      </c>
      <c r="D77" s="1085">
        <f>+D76/Print_Mois!$AC$405</f>
        <v>2.3682018034331079E-2</v>
      </c>
      <c r="E77" s="1085">
        <f>+E76/Print_Mois!$Z$405</f>
        <v>2.3682018034331079E-2</v>
      </c>
      <c r="F77" s="1085">
        <f>+F76/Print_Mois!$AL$405</f>
        <v>1.7381699303047778E-2</v>
      </c>
      <c r="G77" s="1003">
        <f t="shared" si="34"/>
        <v>7.7424760534914316E-3</v>
      </c>
      <c r="H77" s="1004">
        <f t="shared" si="34"/>
        <v>7.7424760534914316E-3</v>
      </c>
      <c r="I77" s="1005">
        <f t="shared" si="34"/>
        <v>1.4042794784774732E-2</v>
      </c>
      <c r="J77" s="1065">
        <f t="shared" si="35"/>
        <v>0.32693480945193976</v>
      </c>
      <c r="K77" s="1066">
        <f t="shared" si="36"/>
        <v>0.32693480945193976</v>
      </c>
      <c r="L77" s="1067">
        <f t="shared" si="37"/>
        <v>0.8079068990862367</v>
      </c>
      <c r="M77" s="1159"/>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27"/>
  <sheetViews>
    <sheetView zoomScale="55" zoomScaleNormal="55" zoomScaleSheetLayoutView="55" workbookViewId="0">
      <pane xSplit="2" ySplit="1" topLeftCell="L483" activePane="bottomRight" state="frozen"/>
      <selection activeCell="C101" sqref="C101"/>
      <selection pane="topRight" activeCell="C101" sqref="C101"/>
      <selection pane="bottomLeft" activeCell="C101" sqref="C101"/>
      <selection pane="bottomRight" activeCell="H496" activeCellId="6" sqref="Z496 W496 T496 Q496 N496 K496 H496"/>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55" t="str">
        <f>"Budget 2021 Mensuel Révisé"&amp;" "&amp;Parametres!$B$1</f>
        <v>Budget 2021 Mensuel Révisé Volks</v>
      </c>
      <c r="C1" s="1155"/>
      <c r="D1" s="1155"/>
      <c r="E1" s="1155"/>
      <c r="F1" s="1155"/>
      <c r="G1" s="1155"/>
      <c r="H1" s="1155"/>
      <c r="I1" s="1155"/>
      <c r="J1" s="1155"/>
      <c r="K1" s="1155"/>
      <c r="L1" s="1155"/>
      <c r="M1" s="1155"/>
      <c r="N1" s="1155"/>
      <c r="O1" s="1155"/>
      <c r="P1" s="1155"/>
      <c r="Q1" s="1155"/>
      <c r="R1" s="1155"/>
      <c r="S1" s="1155"/>
      <c r="T1" s="1155"/>
      <c r="U1" s="1155"/>
      <c r="V1" s="1155"/>
      <c r="W1" s="1155"/>
      <c r="X1" s="1155"/>
      <c r="Y1" s="1155"/>
      <c r="Z1" s="1155"/>
      <c r="AA1" s="1155"/>
      <c r="AB1" s="1155"/>
      <c r="AC1" s="1155"/>
      <c r="AD1" s="1155"/>
      <c r="AE1" s="1155"/>
      <c r="AF1" s="1155"/>
      <c r="AG1" s="1155"/>
      <c r="AH1" s="1155"/>
      <c r="AI1" s="1155"/>
      <c r="AJ1" s="1155"/>
      <c r="AK1" s="1155"/>
      <c r="AL1" s="1155"/>
      <c r="AM1" s="1155"/>
      <c r="AN1" s="1155"/>
      <c r="AO1" s="1155"/>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X</v>
      </c>
      <c r="Y2" s="616" t="str">
        <f>+IF(Parametres!$B$3=X$6,"O","")</f>
        <v>O</v>
      </c>
      <c r="Z2" s="616" t="str">
        <f>+IF(Parametres!$B$3=X$6,"U","")</f>
        <v>U</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X</v>
      </c>
      <c r="Y3" s="621" t="str">
        <f>+IF(VLOOKUP(X$6,Parametres!$K$3:$N$14,4,0)="X","O","")</f>
        <v>O</v>
      </c>
      <c r="Z3" s="621" t="str">
        <f>+IF(VLOOKUP(X$6,Parametres!$K$3:$N$14,4,0)="X","U","")</f>
        <v>U</v>
      </c>
      <c r="AA3" s="621" t="str">
        <f>+IF(VLOOKUP(AA$6,Parametres!$K$3:$N$14,4,0)="X","X","")</f>
        <v/>
      </c>
      <c r="AB3" s="621" t="str">
        <f>+IF(VLOOKUP(AA$6,Parametres!$K$3:$N$14,4,0)="X","O","")</f>
        <v/>
      </c>
      <c r="AC3" s="621" t="str">
        <f>+IF(VLOOKUP(AA$6,Parametres!$K$3:$N$14,4,0)="X","U","")</f>
        <v/>
      </c>
      <c r="AD3" s="621" t="str">
        <f>+IF(VLOOKUP(AD$6,Parametres!$K$3:$N$14,4,0)="X","X","")</f>
        <v/>
      </c>
      <c r="AE3" s="621" t="str">
        <f>+IF(VLOOKUP(AD$6,Parametres!$K$3:$N$14,4,0)="X","O","")</f>
        <v/>
      </c>
      <c r="AF3" s="621" t="str">
        <f>+IF(VLOOKUP(AD$6,Parametres!$K$3:$N$14,4,0)="X","U","")</f>
        <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586"/>
      <c r="B4" s="586" t="s">
        <v>1932</v>
      </c>
      <c r="C4" s="1156" t="s">
        <v>75</v>
      </c>
      <c r="D4" s="1156"/>
      <c r="E4" s="1156"/>
      <c r="F4" s="1156"/>
      <c r="G4" s="1156"/>
      <c r="H4" s="1156"/>
      <c r="I4" s="1156"/>
      <c r="J4" s="1156"/>
      <c r="K4" s="1156"/>
      <c r="L4" s="1156"/>
      <c r="M4" s="1156"/>
      <c r="N4" s="1156"/>
      <c r="O4" s="1156"/>
      <c r="P4" s="1156"/>
      <c r="Q4" s="1156"/>
      <c r="R4" s="1156"/>
      <c r="S4" s="1156"/>
      <c r="T4" s="1156"/>
      <c r="U4" s="1156"/>
      <c r="V4" s="1156"/>
      <c r="W4" s="1156"/>
      <c r="X4" s="1156"/>
      <c r="Y4" s="1156"/>
      <c r="Z4" s="1156"/>
      <c r="AA4" s="1156"/>
      <c r="AB4" s="1156"/>
      <c r="AC4" s="1156"/>
      <c r="AD4" s="1156"/>
      <c r="AE4" s="1156"/>
      <c r="AF4" s="1156"/>
      <c r="AG4" s="1156"/>
      <c r="AH4" s="1156"/>
      <c r="AI4" s="1156"/>
      <c r="AJ4" s="1156"/>
      <c r="AK4" s="1156"/>
      <c r="AL4" s="1156"/>
      <c r="AM4" s="1156"/>
      <c r="AN4" s="1156"/>
      <c r="AO4" s="1156"/>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700" t="s">
        <v>1933</v>
      </c>
      <c r="C6" s="1152">
        <v>2021</v>
      </c>
      <c r="D6" s="1153"/>
      <c r="E6" s="1154"/>
      <c r="F6" s="1035" t="s">
        <v>1934</v>
      </c>
      <c r="G6" s="1036"/>
      <c r="H6" s="1037"/>
      <c r="I6" s="1035" t="s">
        <v>1935</v>
      </c>
      <c r="J6" s="1036"/>
      <c r="K6" s="1037"/>
      <c r="L6" s="1035" t="s">
        <v>1936</v>
      </c>
      <c r="M6" s="1036"/>
      <c r="N6" s="1037"/>
      <c r="O6" s="1035" t="s">
        <v>1937</v>
      </c>
      <c r="P6" s="1036"/>
      <c r="Q6" s="1037"/>
      <c r="R6" s="1035" t="s">
        <v>1938</v>
      </c>
      <c r="S6" s="1036"/>
      <c r="T6" s="1037"/>
      <c r="U6" s="1035" t="s">
        <v>1916</v>
      </c>
      <c r="V6" s="1036"/>
      <c r="W6" s="1037"/>
      <c r="X6" s="1035" t="s">
        <v>1939</v>
      </c>
      <c r="Y6" s="1036"/>
      <c r="Z6" s="1037"/>
      <c r="AA6" s="1035" t="s">
        <v>1940</v>
      </c>
      <c r="AB6" s="1036"/>
      <c r="AC6" s="1037"/>
      <c r="AD6" s="1035" t="s">
        <v>3</v>
      </c>
      <c r="AE6" s="1036"/>
      <c r="AF6" s="1037"/>
      <c r="AG6" s="1035" t="s">
        <v>1941</v>
      </c>
      <c r="AH6" s="1036"/>
      <c r="AI6" s="1037"/>
      <c r="AJ6" s="1035" t="s">
        <v>1942</v>
      </c>
      <c r="AK6" s="1036"/>
      <c r="AL6" s="1037"/>
      <c r="AM6" s="1035" t="s">
        <v>1943</v>
      </c>
      <c r="AN6" s="1036"/>
      <c r="AO6" s="1037"/>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700" t="s">
        <v>1933</v>
      </c>
      <c r="C94" s="1152">
        <v>2021</v>
      </c>
      <c r="D94" s="1153"/>
      <c r="E94" s="1154"/>
      <c r="F94" s="1035" t="s">
        <v>1934</v>
      </c>
      <c r="G94" s="1036"/>
      <c r="H94" s="1037"/>
      <c r="I94" s="1035" t="s">
        <v>1935</v>
      </c>
      <c r="J94" s="1036"/>
      <c r="K94" s="1037"/>
      <c r="L94" s="1035" t="s">
        <v>1936</v>
      </c>
      <c r="M94" s="1036"/>
      <c r="N94" s="1037"/>
      <c r="O94" s="1035" t="s">
        <v>1937</v>
      </c>
      <c r="P94" s="1036"/>
      <c r="Q94" s="1037"/>
      <c r="R94" s="1035" t="s">
        <v>1938</v>
      </c>
      <c r="S94" s="1036"/>
      <c r="T94" s="1037"/>
      <c r="U94" s="1035" t="s">
        <v>1916</v>
      </c>
      <c r="V94" s="1036"/>
      <c r="W94" s="1037"/>
      <c r="X94" s="1035" t="s">
        <v>1939</v>
      </c>
      <c r="Y94" s="1036"/>
      <c r="Z94" s="1037"/>
      <c r="AA94" s="1035" t="s">
        <v>1940</v>
      </c>
      <c r="AB94" s="1036"/>
      <c r="AC94" s="1037"/>
      <c r="AD94" s="1035" t="s">
        <v>3</v>
      </c>
      <c r="AE94" s="1036"/>
      <c r="AF94" s="1037"/>
      <c r="AG94" s="1035" t="s">
        <v>1941</v>
      </c>
      <c r="AH94" s="1036"/>
      <c r="AI94" s="1037"/>
      <c r="AJ94" s="1035" t="s">
        <v>1942</v>
      </c>
      <c r="AK94" s="1036"/>
      <c r="AL94" s="1037"/>
      <c r="AM94" s="1035" t="s">
        <v>1943</v>
      </c>
      <c r="AN94" s="1036"/>
      <c r="AO94" s="1037"/>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700" t="s">
        <v>1933</v>
      </c>
      <c r="C172" s="1152">
        <v>2021</v>
      </c>
      <c r="D172" s="1153"/>
      <c r="E172" s="1154"/>
      <c r="F172" s="1035" t="s">
        <v>1934</v>
      </c>
      <c r="G172" s="1036"/>
      <c r="H172" s="1037"/>
      <c r="I172" s="1035" t="s">
        <v>1935</v>
      </c>
      <c r="J172" s="1036"/>
      <c r="K172" s="1037"/>
      <c r="L172" s="1035" t="s">
        <v>1936</v>
      </c>
      <c r="M172" s="1036"/>
      <c r="N172" s="1037"/>
      <c r="O172" s="1035" t="s">
        <v>1937</v>
      </c>
      <c r="P172" s="1036"/>
      <c r="Q172" s="1037"/>
      <c r="R172" s="1035" t="s">
        <v>1938</v>
      </c>
      <c r="S172" s="1036"/>
      <c r="T172" s="1037"/>
      <c r="U172" s="1035" t="s">
        <v>1916</v>
      </c>
      <c r="V172" s="1036"/>
      <c r="W172" s="1037"/>
      <c r="X172" s="1035" t="s">
        <v>1939</v>
      </c>
      <c r="Y172" s="1036"/>
      <c r="Z172" s="1037"/>
      <c r="AA172" s="1035" t="s">
        <v>1940</v>
      </c>
      <c r="AB172" s="1036"/>
      <c r="AC172" s="1037"/>
      <c r="AD172" s="1035" t="s">
        <v>3</v>
      </c>
      <c r="AE172" s="1036"/>
      <c r="AF172" s="1037"/>
      <c r="AG172" s="1035" t="s">
        <v>1941</v>
      </c>
      <c r="AH172" s="1036"/>
      <c r="AI172" s="1037"/>
      <c r="AJ172" s="1035" t="s">
        <v>1942</v>
      </c>
      <c r="AK172" s="1036"/>
      <c r="AL172" s="1037"/>
      <c r="AM172" s="1035" t="s">
        <v>1943</v>
      </c>
      <c r="AN172" s="1036"/>
      <c r="AO172" s="1037"/>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700" t="s">
        <v>1933</v>
      </c>
      <c r="C239" s="1152">
        <v>2021</v>
      </c>
      <c r="D239" s="1153"/>
      <c r="E239" s="1154"/>
      <c r="F239" s="1035" t="s">
        <v>1934</v>
      </c>
      <c r="G239" s="1036"/>
      <c r="H239" s="1037"/>
      <c r="I239" s="1035" t="s">
        <v>1935</v>
      </c>
      <c r="J239" s="1036"/>
      <c r="K239" s="1037"/>
      <c r="L239" s="1035" t="s">
        <v>1936</v>
      </c>
      <c r="M239" s="1036"/>
      <c r="N239" s="1037"/>
      <c r="O239" s="1035" t="s">
        <v>1937</v>
      </c>
      <c r="P239" s="1036"/>
      <c r="Q239" s="1037"/>
      <c r="R239" s="1035" t="s">
        <v>1938</v>
      </c>
      <c r="S239" s="1036"/>
      <c r="T239" s="1037"/>
      <c r="U239" s="1035" t="s">
        <v>1916</v>
      </c>
      <c r="V239" s="1036"/>
      <c r="W239" s="1037"/>
      <c r="X239" s="1035" t="s">
        <v>1939</v>
      </c>
      <c r="Y239" s="1036"/>
      <c r="Z239" s="1037"/>
      <c r="AA239" s="1035" t="s">
        <v>1940</v>
      </c>
      <c r="AB239" s="1036"/>
      <c r="AC239" s="1037"/>
      <c r="AD239" s="1035" t="s">
        <v>3</v>
      </c>
      <c r="AE239" s="1036"/>
      <c r="AF239" s="1037"/>
      <c r="AG239" s="1035" t="s">
        <v>1941</v>
      </c>
      <c r="AH239" s="1036"/>
      <c r="AI239" s="1037"/>
      <c r="AJ239" s="1035" t="s">
        <v>1942</v>
      </c>
      <c r="AK239" s="1036"/>
      <c r="AL239" s="1037"/>
      <c r="AM239" s="1035" t="s">
        <v>1943</v>
      </c>
      <c r="AN239" s="1036"/>
      <c r="AO239" s="1037"/>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700" t="s">
        <v>1933</v>
      </c>
      <c r="C293" s="1152">
        <v>2021</v>
      </c>
      <c r="D293" s="1153"/>
      <c r="E293" s="1154"/>
      <c r="F293" s="1035" t="s">
        <v>1934</v>
      </c>
      <c r="G293" s="1036"/>
      <c r="H293" s="1037"/>
      <c r="I293" s="1035" t="s">
        <v>1935</v>
      </c>
      <c r="J293" s="1036"/>
      <c r="K293" s="1037"/>
      <c r="L293" s="1035" t="s">
        <v>1936</v>
      </c>
      <c r="M293" s="1036"/>
      <c r="N293" s="1037"/>
      <c r="O293" s="1035" t="s">
        <v>1937</v>
      </c>
      <c r="P293" s="1036"/>
      <c r="Q293" s="1037"/>
      <c r="R293" s="1035" t="s">
        <v>1938</v>
      </c>
      <c r="S293" s="1036"/>
      <c r="T293" s="1037"/>
      <c r="U293" s="1035" t="s">
        <v>1916</v>
      </c>
      <c r="V293" s="1036"/>
      <c r="W293" s="1037"/>
      <c r="X293" s="1035" t="s">
        <v>1939</v>
      </c>
      <c r="Y293" s="1036"/>
      <c r="Z293" s="1037"/>
      <c r="AA293" s="1035" t="s">
        <v>1940</v>
      </c>
      <c r="AB293" s="1036"/>
      <c r="AC293" s="1037"/>
      <c r="AD293" s="1035" t="s">
        <v>3</v>
      </c>
      <c r="AE293" s="1036"/>
      <c r="AF293" s="1037"/>
      <c r="AG293" s="1035" t="s">
        <v>1941</v>
      </c>
      <c r="AH293" s="1036"/>
      <c r="AI293" s="1037"/>
      <c r="AJ293" s="1035" t="s">
        <v>1942</v>
      </c>
      <c r="AK293" s="1036"/>
      <c r="AL293" s="1037"/>
      <c r="AM293" s="1035" t="s">
        <v>1943</v>
      </c>
      <c r="AN293" s="1036"/>
      <c r="AO293" s="1037"/>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700" t="s">
        <v>1933</v>
      </c>
      <c r="C357" s="1152">
        <v>2021</v>
      </c>
      <c r="D357" s="1153"/>
      <c r="E357" s="1154"/>
      <c r="F357" s="1035" t="s">
        <v>1934</v>
      </c>
      <c r="G357" s="1036"/>
      <c r="H357" s="1037"/>
      <c r="I357" s="1035" t="s">
        <v>1935</v>
      </c>
      <c r="J357" s="1036"/>
      <c r="K357" s="1037"/>
      <c r="L357" s="1035" t="s">
        <v>1936</v>
      </c>
      <c r="M357" s="1036"/>
      <c r="N357" s="1037"/>
      <c r="O357" s="1035" t="s">
        <v>1937</v>
      </c>
      <c r="P357" s="1036"/>
      <c r="Q357" s="1037"/>
      <c r="R357" s="1035" t="s">
        <v>1938</v>
      </c>
      <c r="S357" s="1036"/>
      <c r="T357" s="1037"/>
      <c r="U357" s="1035" t="s">
        <v>1916</v>
      </c>
      <c r="V357" s="1036"/>
      <c r="W357" s="1037"/>
      <c r="X357" s="1035" t="s">
        <v>1939</v>
      </c>
      <c r="Y357" s="1036"/>
      <c r="Z357" s="1037"/>
      <c r="AA357" s="1035" t="s">
        <v>1940</v>
      </c>
      <c r="AB357" s="1036"/>
      <c r="AC357" s="1037"/>
      <c r="AD357" s="1035" t="s">
        <v>3</v>
      </c>
      <c r="AE357" s="1036"/>
      <c r="AF357" s="1037"/>
      <c r="AG357" s="1035" t="s">
        <v>1941</v>
      </c>
      <c r="AH357" s="1036"/>
      <c r="AI357" s="1037"/>
      <c r="AJ357" s="1035" t="s">
        <v>1942</v>
      </c>
      <c r="AK357" s="1036"/>
      <c r="AL357" s="1037"/>
      <c r="AM357" s="1035" t="s">
        <v>1943</v>
      </c>
      <c r="AN357" s="1036"/>
      <c r="AO357" s="1037"/>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152">
        <v>2021</v>
      </c>
      <c r="D403" s="1153"/>
      <c r="E403" s="1154"/>
      <c r="F403" s="1035" t="s">
        <v>1934</v>
      </c>
      <c r="G403" s="1036"/>
      <c r="H403" s="1037"/>
      <c r="I403" s="1035" t="s">
        <v>1935</v>
      </c>
      <c r="J403" s="1036"/>
      <c r="K403" s="1037"/>
      <c r="L403" s="1035" t="s">
        <v>1936</v>
      </c>
      <c r="M403" s="1036"/>
      <c r="N403" s="1037"/>
      <c r="O403" s="1035" t="s">
        <v>1937</v>
      </c>
      <c r="P403" s="1036"/>
      <c r="Q403" s="1037"/>
      <c r="R403" s="1035" t="s">
        <v>1938</v>
      </c>
      <c r="S403" s="1036"/>
      <c r="T403" s="1037"/>
      <c r="U403" s="1035" t="s">
        <v>1916</v>
      </c>
      <c r="V403" s="1036"/>
      <c r="W403" s="1037"/>
      <c r="X403" s="1035" t="s">
        <v>1939</v>
      </c>
      <c r="Y403" s="1036"/>
      <c r="Z403" s="1037"/>
      <c r="AA403" s="1035" t="s">
        <v>1940</v>
      </c>
      <c r="AB403" s="1036"/>
      <c r="AC403" s="1037"/>
      <c r="AD403" s="1035" t="s">
        <v>3</v>
      </c>
      <c r="AE403" s="1036"/>
      <c r="AF403" s="1037"/>
      <c r="AG403" s="1035" t="s">
        <v>1941</v>
      </c>
      <c r="AH403" s="1036"/>
      <c r="AI403" s="1037"/>
      <c r="AJ403" s="1035" t="s">
        <v>1942</v>
      </c>
      <c r="AK403" s="1036"/>
      <c r="AL403" s="1037"/>
      <c r="AM403" s="1035" t="s">
        <v>1943</v>
      </c>
      <c r="AN403" s="1036"/>
      <c r="AO403" s="1037"/>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5.25">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Bot="1">
      <c r="A486" s="617"/>
      <c r="B486" s="784"/>
      <c r="C486" s="732"/>
      <c r="D486" s="732"/>
      <c r="E486" s="917"/>
      <c r="F486" s="732"/>
      <c r="G486" s="732"/>
      <c r="H486" s="917"/>
      <c r="I486" s="732"/>
      <c r="J486" s="732"/>
      <c r="K486" s="917"/>
      <c r="L486" s="732"/>
      <c r="M486" s="732"/>
      <c r="N486" s="917"/>
      <c r="O486" s="732"/>
      <c r="P486" s="732"/>
      <c r="Q486" s="917"/>
      <c r="R486" s="732"/>
      <c r="S486" s="732"/>
      <c r="T486" s="917"/>
      <c r="U486" s="732"/>
      <c r="V486" s="732"/>
      <c r="W486" s="917"/>
      <c r="X486" s="732"/>
      <c r="Y486" s="732"/>
      <c r="Z486" s="917"/>
      <c r="AA486" s="732"/>
      <c r="AB486" s="732"/>
      <c r="AC486" s="917"/>
      <c r="AD486" s="732"/>
      <c r="AE486" s="732"/>
      <c r="AF486" s="917"/>
      <c r="AG486" s="732"/>
      <c r="AH486" s="732"/>
      <c r="AI486" s="917"/>
      <c r="AJ486" s="732"/>
      <c r="AK486" s="732"/>
      <c r="AL486" s="917"/>
      <c r="AM486" s="732"/>
      <c r="AN486" s="732"/>
      <c r="AO486" s="917"/>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594"/>
      <c r="I498" s="594"/>
      <c r="J498" s="594"/>
      <c r="K498" s="594"/>
      <c r="L498" s="594"/>
      <c r="M498" s="594"/>
      <c r="N498" s="594"/>
      <c r="O498" s="594"/>
      <c r="P498" s="594"/>
      <c r="Q498" s="594"/>
      <c r="R498" s="594"/>
      <c r="S498" s="594"/>
      <c r="T498" s="594"/>
      <c r="U498" s="594"/>
      <c r="V498" s="594"/>
      <c r="W498" s="594"/>
      <c r="X498" s="594"/>
      <c r="Y498" s="594"/>
      <c r="Z498" s="594"/>
      <c r="AA498" s="594"/>
      <c r="AB498" s="594"/>
      <c r="AC498" s="594"/>
      <c r="AD498" s="594"/>
      <c r="AE498" s="594"/>
      <c r="AF498" s="594"/>
      <c r="AG498" s="594"/>
      <c r="AH498" s="594"/>
      <c r="AI498" s="594"/>
      <c r="AJ498" s="594"/>
      <c r="AK498" s="594"/>
      <c r="AL498" s="594"/>
      <c r="AM498" s="594"/>
      <c r="AN498" s="594"/>
      <c r="AO498" s="594"/>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239:E239"/>
    <mergeCell ref="C293:E293"/>
    <mergeCell ref="C357:E357"/>
    <mergeCell ref="C403:E403"/>
    <mergeCell ref="B1:AO1"/>
    <mergeCell ref="C4:AO4"/>
    <mergeCell ref="C6:E6"/>
    <mergeCell ref="C94:E94"/>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97"/>
  <sheetViews>
    <sheetView tabSelected="1" view="pageBreakPreview" topLeftCell="C1" zoomScale="55" zoomScaleNormal="55" zoomScaleSheetLayoutView="55" workbookViewId="0">
      <selection activeCell="C1" sqref="A1:XFD1048576"/>
    </sheetView>
  </sheetViews>
  <sheetFormatPr baseColWidth="10" defaultColWidth="12.625" defaultRowHeight="15" customHeight="1"/>
  <cols>
    <col min="1" max="1" width="24.125" style="570" hidden="1" customWidth="1"/>
    <col min="2" max="2" width="36" hidden="1" customWidth="1"/>
    <col min="3" max="3" width="34.625" customWidth="1"/>
    <col min="4" max="4" width="16.375" customWidth="1"/>
    <col min="5" max="5" width="15.625" customWidth="1"/>
    <col min="6" max="6" width="16.875" customWidth="1"/>
    <col min="7" max="7" width="17.75" customWidth="1"/>
    <col min="8" max="8" width="15.625" customWidth="1"/>
    <col min="9" max="9" width="15.875" customWidth="1"/>
    <col min="10" max="10" width="16.75" customWidth="1"/>
    <col min="11" max="11" width="14.5" customWidth="1"/>
    <col min="12" max="12" width="15.875" customWidth="1"/>
    <col min="13" max="13" width="13.625"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13.125" customWidth="1"/>
    <col min="22" max="22" width="28.75" customWidth="1"/>
    <col min="23" max="23" width="12.25" customWidth="1"/>
    <col min="24" max="24" width="17.75" customWidth="1"/>
    <col min="25" max="25" width="10" customWidth="1"/>
    <col min="26" max="26" width="17.375" customWidth="1"/>
    <col min="27" max="27" width="10.875" customWidth="1"/>
    <col min="28" max="28" width="10" customWidth="1"/>
    <col min="29" max="29" width="17.5"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Juillet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row>
    <row r="3" spans="1:54" ht="21" thickTop="1">
      <c r="B3" s="24"/>
      <c r="C3" s="263"/>
      <c r="D3" s="1161" t="s">
        <v>77</v>
      </c>
      <c r="E3" s="1162"/>
      <c r="F3" s="1163"/>
      <c r="G3" s="1164" t="s">
        <v>78</v>
      </c>
      <c r="H3" s="1162"/>
      <c r="I3" s="1163"/>
      <c r="J3" s="1164" t="s">
        <v>79</v>
      </c>
      <c r="K3" s="1162"/>
      <c r="L3" s="1163"/>
      <c r="M3" s="1164" t="s">
        <v>80</v>
      </c>
      <c r="N3" s="1163"/>
      <c r="O3" s="1161" t="s">
        <v>81</v>
      </c>
      <c r="P3" s="1162"/>
      <c r="Q3" s="1163"/>
      <c r="R3" s="1164" t="s">
        <v>82</v>
      </c>
      <c r="S3" s="1165"/>
      <c r="T3" s="25"/>
      <c r="U3" s="25"/>
      <c r="V3" s="968" t="s">
        <v>2881</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2882</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+INDEX('Budget original'!$A$2:$AO$496,MATCH($A5,'Budget original'!$A$2:$A$496,0),MATCH(F$2,'Budget original'!$A$2:$AO$2,0))</f>
        <v>688676.8901585252</v>
      </c>
      <c r="G5" s="422"/>
      <c r="H5" s="422"/>
      <c r="I5" s="626">
        <f>+INDEX('Budget révisé'!$A$2:$AO$496,MATCH($A5,'Budget révisé'!$A$2:$A$496,0),MATCH(I$2,'Budget révisé'!$A$2:$AO$2,0))</f>
        <v>688676.8901585252</v>
      </c>
      <c r="J5" s="310"/>
      <c r="K5" s="184"/>
      <c r="L5" s="177">
        <f>-SUMIFS(BV_Data_An_Cour!$O:$O,BV_Data_An_Cour!$X:$X,"Oui",BV_Data_An_Cour!$U:$U,$B5)</f>
        <v>2770249.67</v>
      </c>
      <c r="M5" s="423"/>
      <c r="N5" s="424"/>
      <c r="O5" s="310"/>
      <c r="P5" s="184"/>
      <c r="Q5" s="177">
        <f>-SUMIFS(BV_Data_An_Prec!$O:$O,BV_Data_An_Prec!$X:$X,"Oui",BV_Data_An_Prec!$U:$U,$B5)</f>
        <v>2235532.6500000004</v>
      </c>
      <c r="R5" s="423"/>
      <c r="S5" s="425"/>
      <c r="T5" s="222"/>
      <c r="U5" s="222"/>
      <c r="V5" s="982" t="s">
        <v>2883</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+INDEX('Budget original'!$A$2:$AO$496,MATCH($A6,'Budget original'!$A$2:$A$496,0),MATCH(D$2,'Budget original'!$A$2:$AO$2,0))</f>
        <v>25.083842293153349</v>
      </c>
      <c r="E6" s="179">
        <f>IF(D6=0,0,F6/D6)</f>
        <v>955.05621789951272</v>
      </c>
      <c r="F6" s="179">
        <f>+INDEX('Budget original'!$A$2:$AO$496,MATCH($A6,'Budget original'!$A$2:$A$496,0),MATCH(F$2,'Budget original'!$A$2:$AO$2,0))</f>
        <v>23956.479550886877</v>
      </c>
      <c r="G6" s="182">
        <v>25</v>
      </c>
      <c r="H6" s="179">
        <f>IF(G6=0,0,I6/G6)</f>
        <v>958.25918203547508</v>
      </c>
      <c r="I6" s="179">
        <f>+INDEX('Budget révisé'!$A$2:$AO$496,MATCH($A6,'Budget révisé'!$A$2:$A$496,0),MATCH(I$2,'Budget révisé'!$A$2:$AO$2,0))</f>
        <v>23956.479550886877</v>
      </c>
      <c r="J6" s="182">
        <f>-SUMIFS(BV_Data_An_Cour!$O:$O,BV_Data_An_Cour!$U:$U,$B6,BV_Data_An_Cour!$V:$V,$C6,BV_Data_An_Cour!$W:$W,J$2)</f>
        <v>24</v>
      </c>
      <c r="K6" s="179">
        <f>IF(J6=0,0,L6/J6)</f>
        <v>1259.8541666666686</v>
      </c>
      <c r="L6" s="554">
        <f>-SUMIFS(BV_Data_An_Cour!$O:$O,BV_Data_An_Cour!$U:$U,$B6,BV_Data_An_Cour!$V:$V,$C6,BV_Data_An_Cour!$W:$W,L$2)</f>
        <v>30236.500000000044</v>
      </c>
      <c r="M6" s="182">
        <f t="shared" ref="M6" si="2">J6-G6</f>
        <v>-1</v>
      </c>
      <c r="N6" s="180">
        <f>L6-I6</f>
        <v>6280.0204491131663</v>
      </c>
      <c r="O6" s="1038">
        <f>-SUMIFS(BV_Data_An_Prec!$O:$O,BV_Data_An_Prec!$U:$U,$B6,BV_Data_An_Prec!$V:$V,$C6,BV_Data_An_Prec!$W:$W,O$2)</f>
        <v>35</v>
      </c>
      <c r="P6" s="179">
        <f>IF(O6=0,0,Q6/O6)</f>
        <v>295.79685714286086</v>
      </c>
      <c r="Q6" s="554">
        <f>-SUMIFS(BV_Data_An_Prec!$O:$O,BV_Data_An_Prec!$U:$U,$B6,BV_Data_An_Prec!$V:$V,$C6,BV_Data_An_Prec!$W:$W,Q$2)</f>
        <v>10352.89000000013</v>
      </c>
      <c r="R6" s="182">
        <f t="shared" ref="R6" si="3">J6-O6</f>
        <v>-11</v>
      </c>
      <c r="S6" s="399">
        <f t="shared" ref="S6" si="4">L6-Q6</f>
        <v>19883.609999999913</v>
      </c>
      <c r="T6" s="222"/>
      <c r="U6" s="222"/>
      <c r="V6" s="982" t="s">
        <v>2884</v>
      </c>
      <c r="W6" s="983">
        <v>2.5000000000000001E-2</v>
      </c>
      <c r="X6" s="24"/>
      <c r="Y6" s="24"/>
      <c r="Z6" s="24"/>
      <c r="AA6" s="24"/>
      <c r="AB6" s="24"/>
      <c r="AC6" s="24"/>
      <c r="AD6" s="24"/>
      <c r="AE6" s="24"/>
      <c r="AF6" s="24"/>
      <c r="AG6" s="24"/>
      <c r="AH6" s="24"/>
      <c r="AI6" s="24"/>
      <c r="AJ6" s="24"/>
      <c r="AK6" s="24"/>
      <c r="AL6" s="24"/>
      <c r="AM6" s="24"/>
      <c r="AN6" s="24"/>
    </row>
    <row r="7" spans="1:54" s="570" customFormat="1" ht="20.25">
      <c r="A7" s="570" t="str">
        <f t="shared" ref="A7:A11" si="5">+B7&amp;C7</f>
        <v>Véhicules neufsCamions détail</v>
      </c>
      <c r="B7" s="24" t="str">
        <f t="shared" si="0"/>
        <v>Véhicules neufs</v>
      </c>
      <c r="C7" s="264" t="s">
        <v>90</v>
      </c>
      <c r="D7" s="179">
        <f>+INDEX('Budget original'!$A$2:$AO$496,MATCH($A7,'Budget original'!$A$2:$A$496,0),MATCH(D$2,'Budget original'!$A$2:$AO$2,0))</f>
        <v>33.693477931727436</v>
      </c>
      <c r="E7" s="179">
        <f t="shared" ref="E7:E12" si="6">IF(D7=0,0,F7/D7)</f>
        <v>1702.6668817908317</v>
      </c>
      <c r="F7" s="179">
        <f>+INDEX('Budget original'!$A$2:$AO$496,MATCH($A7,'Budget original'!$A$2:$A$496,0),MATCH(F$2,'Budget original'!$A$2:$AO$2,0))</f>
        <v>57368.769006702554</v>
      </c>
      <c r="G7" s="182">
        <v>34</v>
      </c>
      <c r="H7" s="179">
        <f t="shared" ref="H7:H12" si="7">IF(G7=0,0,I7/G7)</f>
        <v>1687.3167354912516</v>
      </c>
      <c r="I7" s="179">
        <f>+INDEX('Budget révisé'!$A$2:$AO$496,MATCH($A7,'Budget révisé'!$A$2:$A$496,0),MATCH(I$2,'Budget révisé'!$A$2:$AO$2,0))</f>
        <v>57368.769006702554</v>
      </c>
      <c r="J7" s="182">
        <f>-SUMIFS(BV_Data_An_Cour!$O:$O,BV_Data_An_Cour!$U:$U,$B7,BV_Data_An_Cour!$V:$V,$C7,BV_Data_An_Cour!$W:$W,J$2)</f>
        <v>37</v>
      </c>
      <c r="K7" s="179">
        <f t="shared" ref="K7:K12" si="8">IF(J7=0,0,L7/J7)</f>
        <v>2440.6305405405365</v>
      </c>
      <c r="L7" s="554">
        <f>-SUMIFS(BV_Data_An_Cour!$O:$O,BV_Data_An_Cour!$U:$U,$B7,BV_Data_An_Cour!$V:$V,$C7,BV_Data_An_Cour!$W:$W,L$2)</f>
        <v>90303.329999999842</v>
      </c>
      <c r="M7" s="182">
        <f t="shared" ref="M7:M12" si="9">J7-G7</f>
        <v>3</v>
      </c>
      <c r="N7" s="180">
        <f t="shared" ref="N7:N12" si="10">L7-I7</f>
        <v>32934.560993297287</v>
      </c>
      <c r="O7" s="182">
        <f>-SUMIFS(BV_Data_An_Prec!$O:$O,BV_Data_An_Prec!$U:$U,$B7,BV_Data_An_Prec!$V:$V,$C7,BV_Data_An_Prec!$W:$W,O$2)</f>
        <v>19</v>
      </c>
      <c r="P7" s="179">
        <f t="shared" ref="P7:P12" si="11">IF(O7=0,0,Q7/O7)</f>
        <v>763.88263157895449</v>
      </c>
      <c r="Q7" s="554">
        <f>-SUMIFS(BV_Data_An_Prec!$O:$O,BV_Data_An_Prec!$U:$U,$B7,BV_Data_An_Prec!$V:$V,$C7,BV_Data_An_Prec!$W:$W,Q$2)</f>
        <v>14513.770000000135</v>
      </c>
      <c r="R7" s="182">
        <f t="shared" ref="R7:R12" si="12">J7-O7</f>
        <v>18</v>
      </c>
      <c r="S7" s="399">
        <f t="shared" ref="S7:S12" si="13">L7-Q7</f>
        <v>75789.559999999707</v>
      </c>
      <c r="T7" s="222"/>
      <c r="U7" s="222"/>
      <c r="V7" s="968" t="s">
        <v>2885</v>
      </c>
      <c r="W7" s="981">
        <v>0.2</v>
      </c>
      <c r="X7" s="24"/>
      <c r="Y7" s="24"/>
      <c r="Z7" s="24"/>
      <c r="AA7" s="24"/>
      <c r="AB7" s="24"/>
      <c r="AC7" s="24"/>
      <c r="AD7" s="24"/>
      <c r="AE7" s="24"/>
      <c r="AF7" s="24"/>
      <c r="AG7" s="24"/>
      <c r="AH7" s="24"/>
      <c r="AI7" s="24"/>
      <c r="AJ7" s="24"/>
      <c r="AK7" s="24"/>
      <c r="AL7" s="24"/>
      <c r="AM7" s="24"/>
      <c r="AN7" s="24"/>
    </row>
    <row r="8" spans="1:54" s="570" customFormat="1" ht="20.25">
      <c r="A8" s="570" t="str">
        <f t="shared" si="5"/>
        <v>Véhicules neufsSprinter</v>
      </c>
      <c r="B8" s="24" t="str">
        <f t="shared" si="0"/>
        <v>Véhicules neufs</v>
      </c>
      <c r="C8" s="264" t="s">
        <v>91</v>
      </c>
      <c r="D8" s="179">
        <f>+INDEX('Budget original'!$A$2:$AO$496,MATCH($A8,'Budget original'!$A$2:$A$496,0),MATCH(D$2,'Budget original'!$A$2:$AO$2,0))</f>
        <v>0</v>
      </c>
      <c r="E8" s="179">
        <f t="shared" si="6"/>
        <v>0</v>
      </c>
      <c r="F8" s="179">
        <f>+INDEX('Budget original'!$A$2:$AO$496,MATCH($A8,'Budget original'!$A$2:$A$496,0),MATCH(F$2,'Budget original'!$A$2:$AO$2,0))</f>
        <v>0</v>
      </c>
      <c r="G8" s="182">
        <v>0</v>
      </c>
      <c r="H8" s="179">
        <f t="shared" si="7"/>
        <v>0</v>
      </c>
      <c r="I8" s="179">
        <f>+INDEX('Budget révisé'!$A$2:$AO$496,MATCH($A8,'Budget révisé'!$A$2:$A$496,0),MATCH(I$2,'Budget révisé'!$A$2:$AO$2,0))</f>
        <v>0</v>
      </c>
      <c r="J8" s="182">
        <f>-SUMIFS(BV_Data_An_Cour!$O:$O,BV_Data_An_Cour!$U:$U,$B8,BV_Data_An_Cour!$V:$V,$C8,BV_Data_An_Cour!$W:$W,J$2)</f>
        <v>0</v>
      </c>
      <c r="K8" s="179">
        <f t="shared" si="8"/>
        <v>0</v>
      </c>
      <c r="L8" s="554">
        <f>-SUMIFS(BV_Data_An_Cour!$O:$O,BV_Data_An_Cour!$U:$U,$B8,BV_Data_An_Cour!$V:$V,$C8,BV_Data_An_Cour!$W:$W,L$2)</f>
        <v>0</v>
      </c>
      <c r="M8" s="182">
        <f t="shared" si="9"/>
        <v>0</v>
      </c>
      <c r="N8" s="180">
        <f t="shared" si="10"/>
        <v>0</v>
      </c>
      <c r="O8" s="182">
        <f>-SUMIFS(BV_Data_An_Prec!$O:$O,BV_Data_An_Prec!$U:$U,$B8,BV_Data_An_Prec!$V:$V,$C8,BV_Data_An_Prec!$W:$W,O$2)</f>
        <v>0</v>
      </c>
      <c r="P8" s="179">
        <f t="shared" si="11"/>
        <v>0</v>
      </c>
      <c r="Q8" s="554">
        <f>-SUMIFS(BV_Data_An_Prec!$O:$O,BV_Data_An_Prec!$U:$U,$B8,BV_Data_An_Prec!$V:$V,$C8,BV_Data_An_Prec!$W:$W,Q$2)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s="570" customFormat="1" ht="20.25">
      <c r="A9" s="570" t="str">
        <f t="shared" si="5"/>
        <v>Véhicules neufsMoto détail</v>
      </c>
      <c r="B9" s="24" t="str">
        <f t="shared" si="0"/>
        <v>Véhicules neufs</v>
      </c>
      <c r="C9" s="264" t="s">
        <v>92</v>
      </c>
      <c r="D9" s="179">
        <f>+INDEX('Budget original'!$A$2:$AO$496,MATCH($A9,'Budget original'!$A$2:$A$496,0),MATCH(D$2,'Budget original'!$A$2:$AO$2,0))</f>
        <v>0</v>
      </c>
      <c r="E9" s="179">
        <f t="shared" si="6"/>
        <v>0</v>
      </c>
      <c r="F9" s="179">
        <f>+INDEX('Budget original'!$A$2:$AO$496,MATCH($A9,'Budget original'!$A$2:$A$496,0),MATCH(F$2,'Budget original'!$A$2:$AO$2,0))</f>
        <v>0</v>
      </c>
      <c r="G9" s="182">
        <v>0</v>
      </c>
      <c r="H9" s="179">
        <f t="shared" si="7"/>
        <v>0</v>
      </c>
      <c r="I9" s="179">
        <f>+INDEX('Budget révisé'!$A$2:$AO$496,MATCH($A9,'Budget révisé'!$A$2:$A$496,0),MATCH(I$2,'Budget révisé'!$A$2:$AO$2,0))</f>
        <v>0</v>
      </c>
      <c r="J9" s="182">
        <f>-SUMIFS(BV_Data_An_Cour!$O:$O,BV_Data_An_Cour!$U:$U,$B9,BV_Data_An_Cour!$V:$V,$C9,BV_Data_An_Cour!$W:$W,J$2)</f>
        <v>0</v>
      </c>
      <c r="K9" s="179">
        <f t="shared" si="8"/>
        <v>0</v>
      </c>
      <c r="L9" s="554">
        <f>-SUMIFS(BV_Data_An_Cour!$O:$O,BV_Data_An_Cour!$U:$U,$B9,BV_Data_An_Cour!$V:$V,$C9,BV_Data_An_Cour!$W:$W,L$2)</f>
        <v>0</v>
      </c>
      <c r="M9" s="182">
        <f t="shared" si="9"/>
        <v>0</v>
      </c>
      <c r="N9" s="180">
        <f t="shared" si="10"/>
        <v>0</v>
      </c>
      <c r="O9" s="182">
        <f>-SUMIFS(BV_Data_An_Prec!$O:$O,BV_Data_An_Prec!$U:$U,$B9,BV_Data_An_Prec!$V:$V,$C9,BV_Data_An_Prec!$W:$W,O$2)</f>
        <v>0</v>
      </c>
      <c r="P9" s="179">
        <f t="shared" si="11"/>
        <v>0</v>
      </c>
      <c r="Q9" s="554">
        <f>-SUMIFS(BV_Data_An_Prec!$O:$O,BV_Data_An_Prec!$U:$U,$B9,BV_Data_An_Prec!$V:$V,$C9,BV_Data_An_Prec!$W:$W,Q$2)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ustomHeight="1">
      <c r="A10" s="570" t="str">
        <f t="shared" si="5"/>
        <v>Véhicules neufs[...]</v>
      </c>
      <c r="B10" s="24" t="str">
        <f t="shared" si="0"/>
        <v>Véhicules neufs</v>
      </c>
      <c r="C10" s="264" t="s">
        <v>42</v>
      </c>
      <c r="D10" s="179">
        <v>0</v>
      </c>
      <c r="E10" s="179">
        <f t="shared" si="6"/>
        <v>0</v>
      </c>
      <c r="F10" s="179">
        <f>+INDEX('Budget original'!$A$2:$AO$496,MATCH($A10,'Budget original'!$A$2:$A$496,0),MATCH(F$2,'Budget original'!$A$2:$AO$2,0))</f>
        <v>0</v>
      </c>
      <c r="G10" s="182">
        <v>0</v>
      </c>
      <c r="H10" s="179">
        <f t="shared" si="7"/>
        <v>0</v>
      </c>
      <c r="I10" s="179">
        <f>+INDEX('Budget révisé'!$A$2:$AO$496,MATCH($A10,'Budget révisé'!$A$2:$A$496,0),MATCH(I$2,'Budget révisé'!$A$2:$AO$2,0))</f>
        <v>0</v>
      </c>
      <c r="J10" s="182">
        <f>-SUMIFS(BV_Data_An_Cour!$O:$O,BV_Data_An_Cour!$U:$U,$B10,BV_Data_An_Cour!$V:$V,$C10,BV_Data_An_Cour!$W:$W,J$2)</f>
        <v>0</v>
      </c>
      <c r="K10" s="179">
        <f t="shared" si="8"/>
        <v>0</v>
      </c>
      <c r="L10" s="554">
        <f>-SUMIFS(BV_Data_An_Cour!$O:$O,BV_Data_An_Cour!$U:$U,$B10,BV_Data_An_Cour!$V:$V,$C10,BV_Data_An_Cour!$W:$W,L$2)</f>
        <v>0</v>
      </c>
      <c r="M10" s="182">
        <f t="shared" si="9"/>
        <v>0</v>
      </c>
      <c r="N10" s="180">
        <f t="shared" si="10"/>
        <v>0</v>
      </c>
      <c r="O10" s="182">
        <f>-SUMIFS(BV_Data_An_Prec!$O:$O,BV_Data_An_Prec!$U:$U,$B10,BV_Data_An_Prec!$V:$V,$C10,BV_Data_An_Prec!$W:$W,O$2)</f>
        <v>0</v>
      </c>
      <c r="P10" s="179">
        <f t="shared" si="11"/>
        <v>0</v>
      </c>
      <c r="Q10" s="554">
        <f>-SUMIFS(BV_Data_An_Prec!$O:$O,BV_Data_An_Prec!$U:$U,$B10,BV_Data_An_Prec!$V:$V,$C10,BV_Data_An_Prec!$W:$W,Q$2)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ustomHeight="1">
      <c r="A11" s="570" t="str">
        <f t="shared" si="5"/>
        <v>Véhicules neufs[...]</v>
      </c>
      <c r="B11" s="24" t="str">
        <f t="shared" si="0"/>
        <v>Véhicules neufs</v>
      </c>
      <c r="C11" s="264" t="s">
        <v>42</v>
      </c>
      <c r="D11" s="179">
        <v>0</v>
      </c>
      <c r="E11" s="179">
        <f t="shared" si="6"/>
        <v>0</v>
      </c>
      <c r="F11" s="179">
        <f>+INDEX('Budget original'!$A$2:$AO$496,MATCH($A11,'Budget original'!$A$2:$A$496,0),MATCH(F$2,'Budget original'!$A$2:$AO$2,0))</f>
        <v>0</v>
      </c>
      <c r="G11" s="182">
        <v>0</v>
      </c>
      <c r="H11" s="179">
        <f t="shared" si="7"/>
        <v>0</v>
      </c>
      <c r="I11" s="179">
        <f>+INDEX('Budget révisé'!$A$2:$AO$496,MATCH($A11,'Budget révisé'!$A$2:$A$496,0),MATCH(I$2,'Budget révisé'!$A$2:$AO$2,0))</f>
        <v>0</v>
      </c>
      <c r="J11" s="182">
        <f>-SUMIFS(BV_Data_An_Cour!$O:$O,BV_Data_An_Cour!$U:$U,$B11,BV_Data_An_Cour!$V:$V,$C11,BV_Data_An_Cour!$W:$W,J$2)</f>
        <v>0</v>
      </c>
      <c r="K11" s="179">
        <f t="shared" si="8"/>
        <v>0</v>
      </c>
      <c r="L11" s="554">
        <f>-SUMIFS(BV_Data_An_Cour!$O:$O,BV_Data_An_Cour!$U:$U,$B11,BV_Data_An_Cour!$V:$V,$C11,BV_Data_An_Cour!$W:$W,L$2)</f>
        <v>0</v>
      </c>
      <c r="M11" s="182">
        <f t="shared" si="9"/>
        <v>0</v>
      </c>
      <c r="N11" s="180">
        <f t="shared" si="10"/>
        <v>0</v>
      </c>
      <c r="O11" s="182">
        <f>-SUMIFS(BV_Data_An_Prec!$O:$O,BV_Data_An_Prec!$U:$U,$B11,BV_Data_An_Prec!$V:$V,$C11,BV_Data_An_Prec!$W:$W,O$2)</f>
        <v>0</v>
      </c>
      <c r="P11" s="179">
        <f t="shared" si="11"/>
        <v>0</v>
      </c>
      <c r="Q11" s="554">
        <f>-SUMIFS(BV_Data_An_Prec!$O:$O,BV_Data_An_Prec!$U:$U,$B11,BV_Data_An_Prec!$V:$V,$C11,BV_Data_An_Prec!$W:$W,Q$2)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ustomHeight="1">
      <c r="A12" s="570" t="str">
        <f t="shared" si="1"/>
        <v>Véhicules neufs[...]</v>
      </c>
      <c r="B12" s="24" t="str">
        <f t="shared" si="0"/>
        <v>Véhicules neufs</v>
      </c>
      <c r="C12" s="264" t="s">
        <v>42</v>
      </c>
      <c r="D12" s="179">
        <v>0</v>
      </c>
      <c r="E12" s="179">
        <f t="shared" si="6"/>
        <v>0</v>
      </c>
      <c r="F12" s="179">
        <f>+INDEX('Budget original'!$A$2:$AO$496,MATCH($A12,'Budget original'!$A$2:$A$496,0),MATCH(F$2,'Budget original'!$A$2:$AO$2,0))</f>
        <v>0</v>
      </c>
      <c r="G12" s="182">
        <v>0</v>
      </c>
      <c r="H12" s="179">
        <f t="shared" si="7"/>
        <v>0</v>
      </c>
      <c r="I12" s="179">
        <f>+INDEX('Budget révisé'!$A$2:$AO$496,MATCH($A12,'Budget révisé'!$A$2:$A$496,0),MATCH(I$2,'Budget révisé'!$A$2:$AO$2,0))</f>
        <v>0</v>
      </c>
      <c r="J12" s="182">
        <f>-SUMIFS(BV_Data_An_Cour!$O:$O,BV_Data_An_Cour!$U:$U,$B12,BV_Data_An_Cour!$V:$V,$C12,BV_Data_An_Cour!$W:$W,J$2)</f>
        <v>0</v>
      </c>
      <c r="K12" s="179">
        <f t="shared" si="8"/>
        <v>0</v>
      </c>
      <c r="L12" s="554">
        <f>-SUMIFS(BV_Data_An_Cour!$O:$O,BV_Data_An_Cour!$U:$U,$B12,BV_Data_An_Cour!$V:$V,$C12,BV_Data_An_Cour!$W:$W,L$2)</f>
        <v>0</v>
      </c>
      <c r="M12" s="182">
        <f t="shared" si="9"/>
        <v>0</v>
      </c>
      <c r="N12" s="180">
        <f t="shared" si="10"/>
        <v>0</v>
      </c>
      <c r="O12" s="182">
        <f>-SUMIFS(BV_Data_An_Prec!$O:$O,BV_Data_An_Prec!$U:$U,$B12,BV_Data_An_Prec!$V:$V,$C12,BV_Data_An_Prec!$W:$W,O$2)</f>
        <v>0</v>
      </c>
      <c r="P12" s="179">
        <f t="shared" si="11"/>
        <v>0</v>
      </c>
      <c r="Q12" s="554">
        <f>-SUMIFS(BV_Data_An_Prec!$O:$O,BV_Data_An_Prec!$U:$U,$B12,BV_Data_An_Prec!$V:$V,$C12,BV_Data_An_Prec!$W:$W,Q$2)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58.777320224880782</v>
      </c>
      <c r="E13" s="401">
        <f>IF(D13&lt;=0,0,F13/D13)</f>
        <v>1383.616133679466</v>
      </c>
      <c r="F13" s="402">
        <f>+SUM(F6:F12)</f>
        <v>81325.248557589424</v>
      </c>
      <c r="G13" s="403">
        <f>+SUM(G6:G12)</f>
        <v>59</v>
      </c>
      <c r="H13" s="401">
        <f>IF(G13&lt;=0,0,I13/G13)</f>
        <v>1378.3940433489734</v>
      </c>
      <c r="I13" s="402">
        <f>+SUM(I6:I12)</f>
        <v>81325.248557589424</v>
      </c>
      <c r="J13" s="403">
        <f>+SUM(J6:J12)</f>
        <v>61</v>
      </c>
      <c r="K13" s="401">
        <f>IF(J13&lt;=0,0,L13/J13)</f>
        <v>1976.0627868852441</v>
      </c>
      <c r="L13" s="402">
        <f>+SUM(L6:L12)</f>
        <v>120539.82999999989</v>
      </c>
      <c r="M13" s="403">
        <f>+SUM(M6:M12)</f>
        <v>2</v>
      </c>
      <c r="N13" s="402">
        <f>+SUM(N6:N12)</f>
        <v>39214.581442410454</v>
      </c>
      <c r="O13" s="403">
        <f>+SUM(O6:O12)</f>
        <v>54</v>
      </c>
      <c r="P13" s="401">
        <f>IF(O13&lt;=0,0,Q13/O13)</f>
        <v>460.4937037037086</v>
      </c>
      <c r="Q13" s="402">
        <f>+SUM(Q6:Q12)</f>
        <v>24866.660000000265</v>
      </c>
      <c r="R13" s="403">
        <f>+SUM(R6:R12)</f>
        <v>7</v>
      </c>
      <c r="S13" s="404">
        <f>+SUM(S6:S12)</f>
        <v>95673.16999999962</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3.3898305084745763E-2</v>
      </c>
      <c r="N14" s="332">
        <f>IF(I13=0,0,N13/I13)</f>
        <v>0.4821944247073669</v>
      </c>
      <c r="O14" s="303"/>
      <c r="P14" s="179"/>
      <c r="Q14" s="312"/>
      <c r="R14" s="362">
        <f>R13/O13</f>
        <v>0.12962962962962962</v>
      </c>
      <c r="S14" s="333">
        <f>IF(Q13=0,0,(S13/Q13))</f>
        <v>3.8474475462325297</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79">
        <f>+INDEX('Budget original'!$A$2:$AO$496,MATCH($A15,'Budget original'!$A$2:$A$496,0),MATCH(D$2,'Budget original'!$A$2:$AO$2,0))</f>
        <v>6.1260868966777151</v>
      </c>
      <c r="E15" s="184">
        <f t="shared" ref="E15" si="15">IF(D15=0,0,F15/D15)</f>
        <v>790.03378359300473</v>
      </c>
      <c r="F15" s="177">
        <f>+INDEX('Budget original'!$A$2:$AO$496,MATCH($A15,'Budget original'!$A$2:$A$496,0),MATCH(F$2,'Budget original'!$A$2:$AO$2,0))</f>
        <v>4839.8156096018238</v>
      </c>
      <c r="G15" s="183">
        <v>6</v>
      </c>
      <c r="H15" s="407">
        <f t="shared" ref="H15" si="16">IF(G15=0,0,I15/G15)</f>
        <v>806.63593493363726</v>
      </c>
      <c r="I15" s="405">
        <f>+INDEX('Budget révisé'!$A$2:$AO$496,MATCH($A15,'Budget révisé'!$A$2:$A$496,0),MATCH(I$2,'Budget révisé'!$A$2:$AO$2,0))</f>
        <v>4839.8156096018238</v>
      </c>
      <c r="J15" s="1039">
        <f>-SUMIFS(BV_Data_An_Cour!$O:$O,BV_Data_An_Cour!$U:$U,$B15,BV_Data_An_Cour!$V:$V,$C15,BV_Data_An_Cour!$W:$W,J$2)</f>
        <v>6</v>
      </c>
      <c r="K15" s="549">
        <f>IF(J15=0,0,L15/J15)</f>
        <v>1260.968333333333</v>
      </c>
      <c r="L15" s="549">
        <f>-SUMIFS(BV_Data_An_Cour!$O:$O,BV_Data_An_Cour!$U:$U,$B15,BV_Data_An_Cour!$V:$V,$C15,BV_Data_An_Cour!$W:$W,L$2)</f>
        <v>7565.8099999999977</v>
      </c>
      <c r="M15" s="406">
        <f>J15-G15</f>
        <v>0</v>
      </c>
      <c r="N15" s="405">
        <f>L15-I15</f>
        <v>2725.9943903981739</v>
      </c>
      <c r="O15" s="548">
        <f>-SUMIFS(BV_Data_An_Prec!$O:$O,BV_Data_An_Prec!$U:$U,$B15,BV_Data_An_Prec!$V:$V,$C15,BV_Data_An_Prec!$W:$W,O$2)</f>
        <v>5</v>
      </c>
      <c r="P15" s="549">
        <f>IF(O15=0,0,Q15/O15)</f>
        <v>1079.023999999999</v>
      </c>
      <c r="Q15" s="549">
        <f>-SUMIFS(BV_Data_An_Prec!$O:$O,BV_Data_An_Prec!$U:$U,$B15,BV_Data_An_Prec!$V:$V,$C15,BV_Data_An_Prec!$W:$W,Q$2)</f>
        <v>5395.1199999999953</v>
      </c>
      <c r="R15" s="406">
        <f>J15-O15</f>
        <v>1</v>
      </c>
      <c r="S15" s="427">
        <f>L15-Q15</f>
        <v>2170.6900000000023</v>
      </c>
      <c r="T15" s="222"/>
      <c r="U15" s="222"/>
      <c r="V15" s="977">
        <f>3125-L15</f>
        <v>-4440.8099999999977</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+INDEX('Budget original'!$A$2:$AO$496,MATCH($A17,'Budget original'!$A$2:$A$496,0),MATCH(D$2,'Budget original'!$A$2:$AO$2,0))</f>
        <v>2.2444952871027013</v>
      </c>
      <c r="E17" s="179">
        <f t="shared" ref="E17" si="17">IF(D17=0,0,F17/D17)</f>
        <v>800</v>
      </c>
      <c r="F17" s="179">
        <f>+INDEX('Budget original'!$A$2:$AO$496,MATCH($A17,'Budget original'!$A$2:$A$496,0),MATCH(F$2,'Budget original'!$A$2:$AO$2,0))</f>
        <v>1795.596229682161</v>
      </c>
      <c r="G17" s="182">
        <v>2</v>
      </c>
      <c r="H17" s="179">
        <f t="shared" ref="H17" si="18">IF(G17=0,0,I17/G17)</f>
        <v>897.79811484108052</v>
      </c>
      <c r="I17" s="179">
        <f>+INDEX('Budget révisé'!$A$2:$AO$496,MATCH($A17,'Budget révisé'!$A$2:$A$496,0),MATCH(I$2,'Budget révisé'!$A$2:$AO$2,0))</f>
        <v>1795.596229682161</v>
      </c>
      <c r="J17" s="406">
        <f>-SUMIFS(BV_Data_An_Cour!$O:$O,BV_Data_An_Cour!$U:$U,$B17,BV_Data_An_Cour!$V:$V,$C17,BV_Data_An_Cour!$W:$W,J$2)</f>
        <v>0</v>
      </c>
      <c r="K17" s="179">
        <f>IF(J17=0,0,L17/J17)</f>
        <v>0</v>
      </c>
      <c r="L17" s="180">
        <f>-SUMIFS(BV_Data_An_Cour!$O:$O,BV_Data_An_Cour!$U:$U,$B17,BV_Data_An_Cour!$V:$V,$C17,BV_Data_An_Cour!$W:$W,L$2)</f>
        <v>-276</v>
      </c>
      <c r="M17" s="406">
        <f>J17-G17</f>
        <v>-2</v>
      </c>
      <c r="N17" s="180">
        <f>L17-I17</f>
        <v>-2071.5962296821608</v>
      </c>
      <c r="O17" s="406">
        <f>-SUMIFS(BV_Data_An_Prec!$O:$O,BV_Data_An_Prec!$U:$U,$B17,BV_Data_An_Prec!$V:$V,$C17,BV_Data_An_Prec!$W:$W,O$2)</f>
        <v>2</v>
      </c>
      <c r="P17" s="179">
        <f>IF(O17=0,0,Q17/O17)</f>
        <v>1210.4799999999996</v>
      </c>
      <c r="Q17" s="180">
        <f>-SUMIFS(BV_Data_An_Prec!$O:$O,BV_Data_An_Prec!$U:$U,$B17,BV_Data_An_Prec!$V:$V,$C17,BV_Data_An_Prec!$W:$W,Q$2)</f>
        <v>2420.9599999999991</v>
      </c>
      <c r="R17" s="182">
        <f>J17-O17</f>
        <v>-2</v>
      </c>
      <c r="S17" s="399">
        <f>L17-Q17</f>
        <v>-2696.9599999999991</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+INDEX('Budget original'!$A$2:$AO$496,MATCH($A19,'Budget original'!$A$2:$A$496,0),MATCH(D$2,'Budget original'!$A$2:$AO$2,0))</f>
        <v>0</v>
      </c>
      <c r="E19" s="179">
        <f t="shared" ref="E19" si="19">IF(D19=0,0,F19/D19)</f>
        <v>0</v>
      </c>
      <c r="F19" s="179">
        <f>+INDEX('Budget original'!$A$2:$AO$496,MATCH($A19,'Budget original'!$A$2:$A$496,0),MATCH(F$2,'Budget original'!$A$2:$AO$2,0))</f>
        <v>5000</v>
      </c>
      <c r="G19" s="182">
        <v>0</v>
      </c>
      <c r="H19" s="179">
        <f t="shared" ref="H19" si="20">IF(G19=0,0,I19/G19)</f>
        <v>0</v>
      </c>
      <c r="I19" s="179">
        <f>+INDEX('Budget révisé'!$A$2:$AO$496,MATCH($A19,'Budget révisé'!$A$2:$A$496,0),MATCH(I$2,'Budget révisé'!$A$2:$AO$2,0))</f>
        <v>5000</v>
      </c>
      <c r="J19" s="183"/>
      <c r="K19" s="179"/>
      <c r="L19" s="180">
        <f>-SUMIFS(BV_Data_An_Cour!$O:$O,BV_Data_An_Cour!$U:$U,$B19,BV_Data_An_Cour!$V:$V,$C19,BV_Data_An_Cour!$W:$W,L$2)</f>
        <v>5617.1199999999953</v>
      </c>
      <c r="M19" s="182"/>
      <c r="N19" s="180">
        <f>L19-I19</f>
        <v>617.11999999999534</v>
      </c>
      <c r="O19" s="183"/>
      <c r="P19" s="179"/>
      <c r="Q19" s="180">
        <f>-SUMIFS(BV_Data_An_Prec!$O:$O,BV_Data_An_Prec!$U:$U,$B19,BV_Data_An_Prec!$V:$V,$C19,BV_Data_An_Prec!$W:$W,Q$2)</f>
        <v>6818.359999999986</v>
      </c>
      <c r="R19" s="182">
        <f>O19-K19</f>
        <v>0</v>
      </c>
      <c r="S19" s="399">
        <f>L19-Q19</f>
        <v>-1201.2399999999907</v>
      </c>
      <c r="T19" s="222"/>
      <c r="U19" s="25" t="s">
        <v>6</v>
      </c>
      <c r="V19" s="1086">
        <f>G13+G15+G17</f>
        <v>67</v>
      </c>
      <c r="W19" s="1086">
        <f>I13+I15+I17</f>
        <v>87960.660396873413</v>
      </c>
      <c r="X19" s="1087">
        <f>W19/V19</f>
        <v>1312.8456775652749</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5">
        <v>2021</v>
      </c>
      <c r="V20" s="1086">
        <f>J13+J15+J17</f>
        <v>67</v>
      </c>
      <c r="W20" s="1086">
        <f>L13+L15+L17</f>
        <v>127829.63999999988</v>
      </c>
      <c r="X20" s="1087">
        <f>W20/V20</f>
        <v>1907.905074626864</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+INDEX('Budget original'!$A$2:$AO$496,MATCH($A21,'Budget original'!$A$2:$A$496,0),MATCH(D$2,'Budget original'!$A$2:$AO$2,0))</f>
        <v>0</v>
      </c>
      <c r="E21" s="179">
        <f t="shared" ref="E21:E23" si="21">IF(D21=0,0,F21/D21)</f>
        <v>0</v>
      </c>
      <c r="F21" s="179">
        <f>+INDEX('Budget original'!$A$2:$AO$496,MATCH($A21,'Budget original'!$A$2:$A$496,0),MATCH(F$2,'Budget original'!$A$2:$AO$2,0))</f>
        <v>6106.0991770732644</v>
      </c>
      <c r="G21" s="303">
        <v>0</v>
      </c>
      <c r="H21" s="179">
        <f t="shared" ref="H21:H23" si="22">IF(G21=0,0,I21/G21)</f>
        <v>0</v>
      </c>
      <c r="I21" s="179">
        <f>+INDEX('Budget révisé'!$A$2:$AO$496,MATCH($A21,'Budget révisé'!$A$2:$A$496,0),MATCH(I$2,'Budget révisé'!$A$2:$AO$2,0))</f>
        <v>6106.0991770732644</v>
      </c>
      <c r="J21" s="182"/>
      <c r="K21" s="179">
        <f>IF(J13=0,0,L21/(J13+J15))</f>
        <v>1.4925373134328359</v>
      </c>
      <c r="L21" s="180">
        <f>-SUMIFS(BV_Data_An_Cour!$O:$O,BV_Data_An_Cour!$U:$U,$B21,BV_Data_An_Cour!$V:$V,$C21,BV_Data_An_Cour!$W:$W,L$2)</f>
        <v>100</v>
      </c>
      <c r="M21" s="182"/>
      <c r="N21" s="180">
        <f t="shared" ref="N21:N24" si="23">L21-I21</f>
        <v>-6006.0991770732644</v>
      </c>
      <c r="O21" s="182"/>
      <c r="P21" s="179">
        <f>IF(O13=0,0,Q21/(O13+O15))</f>
        <v>88.907796610169498</v>
      </c>
      <c r="Q21" s="180">
        <f>-SUMIFS(BV_Data_An_Prec!$O:$O,BV_Data_An_Prec!$U:$U,$B21,BV_Data_An_Prec!$V:$V,$C21,BV_Data_An_Prec!$W:$W,Q$2)</f>
        <v>5245.56</v>
      </c>
      <c r="R21" s="182">
        <f t="shared" ref="R21:R23" si="24">O21-K21</f>
        <v>-1.4925373134328359</v>
      </c>
      <c r="S21" s="399">
        <f t="shared" ref="S21:S24" si="25">L21-Q21</f>
        <v>-5145.5600000000004</v>
      </c>
      <c r="T21" s="222"/>
      <c r="U21" s="222"/>
      <c r="V21" s="514"/>
      <c r="W21" s="514"/>
      <c r="X21" s="1151">
        <f>X20-X19</f>
        <v>595.05939706158915</v>
      </c>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tr">
        <f t="shared" si="1"/>
        <v>Véhicules neufsRev. Protections</v>
      </c>
      <c r="B22" s="24" t="str">
        <f t="shared" si="0"/>
        <v>Véhicules neufs</v>
      </c>
      <c r="C22" s="264" t="s">
        <v>98</v>
      </c>
      <c r="D22" s="179">
        <f>+INDEX('Budget original'!$A$2:$AO$496,MATCH($A22,'Budget original'!$A$2:$A$496,0),MATCH(D$2,'Budget original'!$A$2:$AO$2,0))</f>
        <v>0</v>
      </c>
      <c r="E22" s="179">
        <f t="shared" si="21"/>
        <v>0</v>
      </c>
      <c r="F22" s="179">
        <f>+INDEX('Budget original'!$A$2:$AO$496,MATCH($A22,'Budget original'!$A$2:$A$496,0),MATCH(F$2,'Budget original'!$A$2:$AO$2,0))</f>
        <v>47854.777271481165</v>
      </c>
      <c r="G22" s="303">
        <v>0</v>
      </c>
      <c r="H22" s="179">
        <f t="shared" si="22"/>
        <v>0</v>
      </c>
      <c r="I22" s="179">
        <f>+INDEX('Budget révisé'!$A$2:$AO$496,MATCH($A22,'Budget révisé'!$A$2:$A$496,0),MATCH(I$2,'Budget révisé'!$A$2:$AO$2,0))</f>
        <v>47854.777271481165</v>
      </c>
      <c r="J22" s="182"/>
      <c r="K22" s="179">
        <f>IF(J13=0,0,L22/(J13+J15))</f>
        <v>822.70940298507458</v>
      </c>
      <c r="L22" s="180">
        <f>-SUMIFS(BV_Data_An_Cour!$O:$O,BV_Data_An_Cour!$U:$U,$B22,BV_Data_An_Cour!$V:$V,$C22,BV_Data_An_Cour!$W:$W,L$2)</f>
        <v>55121.53</v>
      </c>
      <c r="M22" s="182"/>
      <c r="N22" s="180">
        <f t="shared" si="23"/>
        <v>7266.7527285188335</v>
      </c>
      <c r="O22" s="182"/>
      <c r="P22" s="179">
        <f>IF(O13=0,0,Q22/(O13+O15))</f>
        <v>655.4316949152543</v>
      </c>
      <c r="Q22" s="180">
        <f>-SUMIFS(BV_Data_An_Prec!$O:$O,BV_Data_An_Prec!$U:$U,$B22,BV_Data_An_Prec!$V:$V,$C22,BV_Data_An_Prec!$W:$W,Q$2)</f>
        <v>38670.47</v>
      </c>
      <c r="R22" s="182">
        <f t="shared" si="24"/>
        <v>-822.70940298507458</v>
      </c>
      <c r="S22" s="399">
        <f t="shared" si="25"/>
        <v>16451.059999999998</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tr">
        <f t="shared" si="1"/>
        <v>Véhicules neufsRev. Autres</v>
      </c>
      <c r="B23" s="24" t="str">
        <f t="shared" si="0"/>
        <v>Véhicules neufs</v>
      </c>
      <c r="C23" s="264" t="s">
        <v>99</v>
      </c>
      <c r="D23" s="179">
        <f>+INDEX('Budget original'!$A$2:$AO$496,MATCH($A23,'Budget original'!$A$2:$A$496,0),MATCH(D$2,'Budget original'!$A$2:$AO$2,0))</f>
        <v>0</v>
      </c>
      <c r="E23" s="179">
        <f t="shared" si="21"/>
        <v>0</v>
      </c>
      <c r="F23" s="179">
        <f>+INDEX('Budget original'!$A$2:$AO$496,MATCH($A23,'Budget original'!$A$2:$A$496,0),MATCH(F$2,'Budget original'!$A$2:$AO$2,0))</f>
        <v>1207.0196047702964</v>
      </c>
      <c r="G23" s="303">
        <v>0</v>
      </c>
      <c r="H23" s="179">
        <f t="shared" si="22"/>
        <v>0</v>
      </c>
      <c r="I23" s="179">
        <f>+INDEX('Budget révisé'!$A$2:$AO$496,MATCH($A23,'Budget révisé'!$A$2:$A$496,0),MATCH(I$2,'Budget révisé'!$A$2:$AO$2,0))</f>
        <v>1207.0196047702964</v>
      </c>
      <c r="J23" s="182"/>
      <c r="K23" s="179">
        <f>IF(J13=0,0,L23/(J13+J15))</f>
        <v>26.582985074626865</v>
      </c>
      <c r="L23" s="180">
        <f>-SUMIFS(BV_Data_An_Cour!$O:$O,BV_Data_An_Cour!$U:$U,$B23,BV_Data_An_Cour!$V:$V,$C23,BV_Data_An_Cour!$W:$W,L$2)</f>
        <v>1781.06</v>
      </c>
      <c r="M23" s="406"/>
      <c r="N23" s="180">
        <f t="shared" si="23"/>
        <v>574.04039522970356</v>
      </c>
      <c r="O23" s="182"/>
      <c r="P23" s="179">
        <f>IF(O13=0,0,Q23/(O13+O15))</f>
        <v>37.642203389830506</v>
      </c>
      <c r="Q23" s="180">
        <f>-SUMIFS(BV_Data_An_Prec!$O:$O,BV_Data_An_Prec!$U:$U,$B23,BV_Data_An_Prec!$V:$V,$C23,BV_Data_An_Prec!$W:$W,Q$2)</f>
        <v>2220.89</v>
      </c>
      <c r="R23" s="182">
        <f t="shared" si="24"/>
        <v>-26.582985074626865</v>
      </c>
      <c r="S23" s="399">
        <f t="shared" si="25"/>
        <v>-439.82999999999993</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tr">
        <f t="shared" si="1"/>
        <v>Véhicules neufsTotal F&amp;I</v>
      </c>
      <c r="B24" s="24" t="str">
        <f t="shared" si="0"/>
        <v>Véhicules neufs</v>
      </c>
      <c r="C24" s="400" t="s">
        <v>100</v>
      </c>
      <c r="D24" s="401">
        <f>+D15+D13</f>
        <v>64.903407121558502</v>
      </c>
      <c r="E24" s="401">
        <f>IF(D24&lt;=0,0,F24/D24)</f>
        <v>850.00000000000011</v>
      </c>
      <c r="F24" s="402">
        <f>F21+F22+F23</f>
        <v>55167.89605332473</v>
      </c>
      <c r="G24" s="403">
        <f>+G15+G13</f>
        <v>65</v>
      </c>
      <c r="H24" s="401">
        <f>IF(G24&lt;=0,0,I24/G24)</f>
        <v>848.73686235884202</v>
      </c>
      <c r="I24" s="402">
        <f>I21+I22+I23</f>
        <v>55167.89605332473</v>
      </c>
      <c r="J24" s="403">
        <f>+J15+J13</f>
        <v>67</v>
      </c>
      <c r="K24" s="401">
        <f>IF(J24&lt;=0,0,L24/J24)</f>
        <v>850.78492537313423</v>
      </c>
      <c r="L24" s="402">
        <f>L21+L22+L23</f>
        <v>57002.59</v>
      </c>
      <c r="M24" s="431">
        <f>J24-G24</f>
        <v>2</v>
      </c>
      <c r="N24" s="402">
        <f t="shared" si="23"/>
        <v>1834.6939466752665</v>
      </c>
      <c r="O24" s="403">
        <f>+O15+O13</f>
        <v>59</v>
      </c>
      <c r="P24" s="401">
        <f>IF(O24&lt;=0,0,Q24/O24)</f>
        <v>781.98169491525425</v>
      </c>
      <c r="Q24" s="402">
        <f>Q21+Q22+Q23</f>
        <v>46136.92</v>
      </c>
      <c r="R24" s="411"/>
      <c r="S24" s="404">
        <f t="shared" si="25"/>
        <v>10865.669999999998</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3.325655096402208E-2</v>
      </c>
      <c r="O25" s="303"/>
      <c r="P25" s="178"/>
      <c r="Q25" s="304"/>
      <c r="R25" s="325"/>
      <c r="S25" s="333">
        <f>IF(Q24=0,0,(S24/Q24))</f>
        <v>0.23550921908094424</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67.147902408661196</v>
      </c>
      <c r="E27" s="27">
        <f>IF(D27&lt;=0,0,F27/D27)</f>
        <v>2206.0042255481017</v>
      </c>
      <c r="F27" s="28">
        <f>F13+F17+F24+F19+F15</f>
        <v>148128.55645019814</v>
      </c>
      <c r="G27" s="29">
        <f>+G13+G15+G17</f>
        <v>67</v>
      </c>
      <c r="H27" s="30">
        <f>IF(G27&lt;=0,0,I27/G27)</f>
        <v>2210.8739768686291</v>
      </c>
      <c r="I27" s="28">
        <f>I13+I17+I24+I19+I15</f>
        <v>148128.55645019814</v>
      </c>
      <c r="J27" s="29">
        <f>+J13+J15+J17</f>
        <v>67</v>
      </c>
      <c r="K27" s="30">
        <f>IF(J27&lt;=0,0,L27/J27)</f>
        <v>2842.5276119402965</v>
      </c>
      <c r="L27" s="28">
        <f>L13+L17+L24+L19+L15</f>
        <v>190449.34999999986</v>
      </c>
      <c r="M27" s="29">
        <f>J27-G27</f>
        <v>0</v>
      </c>
      <c r="N27" s="28">
        <f>L27-I27</f>
        <v>42320.793549801718</v>
      </c>
      <c r="O27" s="29">
        <f>+O13+O15+O17</f>
        <v>61</v>
      </c>
      <c r="P27" s="30">
        <f>IF(O27&lt;=0,0,Q27/O27)</f>
        <v>1403.901967213119</v>
      </c>
      <c r="Q27" s="28">
        <f>Q13+Q17+Q24+Q19+Q15</f>
        <v>85638.020000000251</v>
      </c>
      <c r="R27" s="29">
        <f>J27-O27</f>
        <v>6</v>
      </c>
      <c r="S27" s="363">
        <f>L27-Q27</f>
        <v>104811.32999999961</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0</v>
      </c>
      <c r="N28" s="34">
        <f>N27/I27</f>
        <v>0.28570313897597632</v>
      </c>
      <c r="O28" s="31"/>
      <c r="P28" s="365"/>
      <c r="Q28" s="32"/>
      <c r="R28" s="33">
        <f>R27/O27</f>
        <v>9.8360655737704916E-2</v>
      </c>
      <c r="S28" s="272">
        <f>IF(Q27=0,0,S27/Q27)</f>
        <v>1.2238878245900513</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313"/>
      <c r="H29" s="369"/>
      <c r="I29" s="314"/>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1142">
        <f>F31/(F15+F13)</f>
        <v>0.29501879892928684</v>
      </c>
      <c r="E31" s="197">
        <f t="shared" ref="E31:E40" si="26">F31/D$24</f>
        <v>391.66377957107289</v>
      </c>
      <c r="F31" s="179">
        <f>+INDEX('Budget original'!$A$2:$AO$496,MATCH($A31,'Budget original'!$A$2:$A$496,0),MATCH(F$2,'Budget original'!$A$2:$AO$2,0))</f>
        <v>25420.313740269692</v>
      </c>
      <c r="G31" s="975">
        <f>I31/(I15+I13)</f>
        <v>0.29501879892928684</v>
      </c>
      <c r="H31" s="197">
        <f t="shared" ref="H31:H40" si="27">I31/G$24</f>
        <v>391.08174985030297</v>
      </c>
      <c r="I31" s="179">
        <f>+INDEX('Budget révisé'!$A$2:$AO$496,MATCH($A31,'Budget révisé'!$A$2:$A$496,0),MATCH(I$2,'Budget révisé'!$A$2:$AO$2,0))</f>
        <v>25420.313740269692</v>
      </c>
      <c r="J31" s="975">
        <f>L31/(L15+L13)</f>
        <v>0.29792942761926827</v>
      </c>
      <c r="K31" s="197">
        <f t="shared" ref="K31:K36" si="28">IF(L31=0,0,L31/J$24)</f>
        <v>569.6483582089553</v>
      </c>
      <c r="L31" s="179">
        <f>SUMIFS(BV_Data_An_Cour!$O:$O,BV_Data_An_Cour!$U:$U,$B31,BV_Data_An_Cour!$V:$V,$C31,BV_Data_An_Cour!$W:$W,L$2)</f>
        <v>38166.44</v>
      </c>
      <c r="M31" s="303"/>
      <c r="N31" s="304">
        <f t="shared" ref="N31:N53" si="29">L31-I31</f>
        <v>12746.12625973031</v>
      </c>
      <c r="O31" s="303"/>
      <c r="P31" s="197">
        <f t="shared" ref="P31:P36" si="30">IF(Q31=0,0,Q31/O$24)</f>
        <v>639.58033898305086</v>
      </c>
      <c r="Q31" s="180">
        <f>SUMIFS(BV_Data_An_Prec!$O:$O,BV_Data_An_Prec!$U:$U,$B31,BV_Data_An_Prec!$V:$V,$C31,BV_Data_An_Prec!$W:$W,Q$2)</f>
        <v>37735.24</v>
      </c>
      <c r="R31" s="303"/>
      <c r="S31" s="199">
        <f t="shared" ref="S31:S41" si="31">L31-Q31</f>
        <v>431.20000000000437</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1143">
        <f>F32/F24</f>
        <v>0.3</v>
      </c>
      <c r="E32" s="413">
        <f t="shared" si="26"/>
        <v>255.00000000000003</v>
      </c>
      <c r="F32" s="177">
        <f>+INDEX('Budget original'!$A$2:$AO$496,MATCH($A32,'Budget original'!$A$2:$A$496,0),MATCH(F$2,'Budget original'!$A$2:$AO$2,0))</f>
        <v>16550.368815997419</v>
      </c>
      <c r="G32" s="976">
        <f>I32/I24</f>
        <v>0.3</v>
      </c>
      <c r="H32" s="190">
        <f t="shared" si="27"/>
        <v>254.62105870765259</v>
      </c>
      <c r="I32" s="177">
        <f>+INDEX('Budget révisé'!$A$2:$AO$496,MATCH($A32,'Budget révisé'!$A$2:$A$496,0),MATCH(I$2,'Budget révisé'!$A$2:$AO$2,0))</f>
        <v>16550.368815997419</v>
      </c>
      <c r="J32" s="1128">
        <f>L32/L24</f>
        <v>0.30624661089960997</v>
      </c>
      <c r="K32" s="413">
        <f t="shared" si="28"/>
        <v>260.54999999999995</v>
      </c>
      <c r="L32" s="244">
        <f>SUMIFS(BV_Data_An_Cour!$O:$O,BV_Data_An_Cour!$U:$U,$B32,BV_Data_An_Cour!$V:$V,$C32,BV_Data_An_Cour!$W:$W,L$2)</f>
        <v>17456.849999999999</v>
      </c>
      <c r="M32" s="310"/>
      <c r="N32" s="311">
        <f t="shared" si="29"/>
        <v>906.48118400257954</v>
      </c>
      <c r="O32" s="310"/>
      <c r="P32" s="413">
        <f t="shared" si="30"/>
        <v>294.1086440677966</v>
      </c>
      <c r="Q32" s="177">
        <f>SUMIFS(BV_Data_An_Prec!$O:$O,BV_Data_An_Prec!$U:$U,$B32,BV_Data_An_Prec!$V:$V,$C32,BV_Data_An_Prec!$W:$W,Q$2)</f>
        <v>17352.41</v>
      </c>
      <c r="R32" s="310"/>
      <c r="S32" s="202">
        <f t="shared" si="31"/>
        <v>104.43999999999869</v>
      </c>
      <c r="T32" s="222"/>
      <c r="U32" s="222"/>
      <c r="V32" s="514">
        <f>H33*J24</f>
        <v>13179.385701499243</v>
      </c>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+INDEX('Budget original'!$A$2:$AO$496,MATCH($A33,'Budget original'!$A$2:$A$496,0),MATCH(F$2,'Budget original'!$A$2:$AO$2,0))</f>
        <v>12785.971202947025</v>
      </c>
      <c r="G33" s="302"/>
      <c r="H33" s="197">
        <f t="shared" si="27"/>
        <v>196.70724927610809</v>
      </c>
      <c r="I33" s="179">
        <f>+INDEX('Budget révisé'!$A$2:$AO$496,MATCH($A33,'Budget révisé'!$A$2:$A$496,0),MATCH(I$2,'Budget révisé'!$A$2:$AO$2,0))</f>
        <v>12785.971202947025</v>
      </c>
      <c r="J33" s="303"/>
      <c r="K33" s="197">
        <f t="shared" si="28"/>
        <v>252.36746268656714</v>
      </c>
      <c r="L33" s="179">
        <f>SUMIFS(BV_Data_An_Cour!$O:$O,BV_Data_An_Cour!$U:$U,$B33,BV_Data_An_Cour!$V:$V,$C33,BV_Data_An_Cour!$W:$W,L$2)</f>
        <v>16908.62</v>
      </c>
      <c r="M33" s="303"/>
      <c r="N33" s="304">
        <f t="shared" si="29"/>
        <v>4122.6487970529743</v>
      </c>
      <c r="O33" s="303"/>
      <c r="P33" s="197">
        <f t="shared" si="30"/>
        <v>184.92830508474577</v>
      </c>
      <c r="Q33" s="180">
        <f>SUMIFS(BV_Data_An_Prec!$O:$O,BV_Data_An_Prec!$U:$U,$B33,BV_Data_An_Prec!$V:$V,$C33,BV_Data_An_Prec!$W:$W,Q$2)</f>
        <v>10910.77</v>
      </c>
      <c r="R33" s="303"/>
      <c r="S33" s="199">
        <f t="shared" si="31"/>
        <v>5997.8499999999985</v>
      </c>
      <c r="T33" s="222"/>
      <c r="U33" s="222"/>
      <c r="V33" s="514"/>
      <c r="W33" s="514">
        <f>L24*0.3</f>
        <v>17100.776999999998</v>
      </c>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+INDEX('Budget original'!$A$2:$AO$496,MATCH($A34,'Budget original'!$A$2:$A$496,0),MATCH(F$2,'Budget original'!$A$2:$AO$2,0))</f>
        <v>389.42044272935101</v>
      </c>
      <c r="G34" s="302"/>
      <c r="H34" s="197">
        <f t="shared" si="27"/>
        <v>5.9910837342977077</v>
      </c>
      <c r="I34" s="179">
        <f>+INDEX('Budget révisé'!$A$2:$AO$496,MATCH($A34,'Budget révisé'!$A$2:$A$496,0),MATCH(I$2,'Budget révisé'!$A$2:$AO$2,0))</f>
        <v>389.42044272935101</v>
      </c>
      <c r="J34" s="303"/>
      <c r="K34" s="197">
        <f t="shared" si="28"/>
        <v>6.6438805970149248</v>
      </c>
      <c r="L34" s="179">
        <f>SUMIFS(BV_Data_An_Cour!$O:$O,BV_Data_An_Cour!$U:$U,$B34,BV_Data_An_Cour!$V:$V,$C34,BV_Data_An_Cour!$W:$W,L$2)</f>
        <v>445.14</v>
      </c>
      <c r="M34" s="303"/>
      <c r="N34" s="304">
        <f t="shared" si="29"/>
        <v>55.719557270648977</v>
      </c>
      <c r="O34" s="303"/>
      <c r="P34" s="197">
        <f t="shared" si="30"/>
        <v>3.7884745762711867</v>
      </c>
      <c r="Q34" s="180">
        <f>SUMIFS(BV_Data_An_Prec!$O:$O,BV_Data_An_Prec!$U:$U,$B34,BV_Data_An_Prec!$V:$V,$C34,BV_Data_An_Prec!$W:$W,Q$2)</f>
        <v>223.52</v>
      </c>
      <c r="R34" s="303"/>
      <c r="S34" s="199">
        <f t="shared" si="31"/>
        <v>221.61999999999998</v>
      </c>
      <c r="T34" s="222"/>
      <c r="U34" s="222"/>
      <c r="V34" s="977">
        <f>V32-L33</f>
        <v>-3729.2342985007563</v>
      </c>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+INDEX('Budget original'!$A$2:$AO$496,MATCH($A35,'Budget original'!$A$2:$A$496,0),MATCH(F$2,'Budget original'!$A$2:$AO$2,0))</f>
        <v>2206.7158421329891</v>
      </c>
      <c r="G35" s="309"/>
      <c r="H35" s="190">
        <f t="shared" si="27"/>
        <v>33.94947449435368</v>
      </c>
      <c r="I35" s="177">
        <f>+INDEX('Budget révisé'!$A$2:$AO$496,MATCH($A35,'Budget révisé'!$A$2:$A$496,0),MATCH(I$2,'Budget révisé'!$A$2:$AO$2,0))</f>
        <v>2206.7158421329891</v>
      </c>
      <c r="J35" s="310"/>
      <c r="K35" s="413">
        <f t="shared" si="28"/>
        <v>2.6119402985074629</v>
      </c>
      <c r="L35" s="177">
        <f>SUMIFS(BV_Data_An_Cour!$O:$O,BV_Data_An_Cour!$U:$U,$B35,BV_Data_An_Cour!$V:$V,$C35,BV_Data_An_Cour!$W:$W,L$2)</f>
        <v>175</v>
      </c>
      <c r="M35" s="310"/>
      <c r="N35" s="311">
        <f t="shared" si="29"/>
        <v>-2031.7158421329891</v>
      </c>
      <c r="O35" s="310"/>
      <c r="P35" s="413">
        <f t="shared" si="30"/>
        <v>41.866101694915251</v>
      </c>
      <c r="Q35" s="180">
        <f>SUMIFS(BV_Data_An_Prec!$O:$O,BV_Data_An_Prec!$U:$U,$B35,BV_Data_An_Prec!$V:$V,$C35,BV_Data_An_Prec!$W:$W,Q$2)</f>
        <v>2470.1</v>
      </c>
      <c r="R35" s="310"/>
      <c r="S35" s="202">
        <f t="shared" si="31"/>
        <v>-2295.1</v>
      </c>
      <c r="T35" s="222"/>
      <c r="U35" s="222"/>
      <c r="V35" s="514"/>
      <c r="W35" s="977">
        <f>L32-W33</f>
        <v>356.07300000000032</v>
      </c>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180.66964285714283</v>
      </c>
      <c r="F36" s="179">
        <f>+INDEX('Budget original'!$A$2:$AO$496,MATCH($A36,'Budget original'!$A$2:$A$496,0),MATCH(F$2,'Budget original'!$A$2:$AO$2,0))</f>
        <v>11726.075384863716</v>
      </c>
      <c r="G36" s="302"/>
      <c r="H36" s="197">
        <f t="shared" si="27"/>
        <v>180.40115976713409</v>
      </c>
      <c r="I36" s="179">
        <f>+INDEX('Budget révisé'!$A$2:$AO$496,MATCH($A36,'Budget révisé'!$A$2:$A$496,0),MATCH(I$2,'Budget révisé'!$A$2:$AO$2,0))</f>
        <v>11726.075384863716</v>
      </c>
      <c r="J36" s="303"/>
      <c r="K36" s="197">
        <f t="shared" si="28"/>
        <v>153.44895522388063</v>
      </c>
      <c r="L36" s="629">
        <f>SUMIFS(BV_Data_An_Cour!$O:$O,BV_Data_An_Cour!$U:$U,$B36,BV_Data_An_Cour!$V:$V,$C36,BV_Data_An_Cour!$W:$W,L$2)</f>
        <v>10281.080000000002</v>
      </c>
      <c r="M36" s="178"/>
      <c r="N36" s="304">
        <f t="shared" si="29"/>
        <v>-1444.9953848637142</v>
      </c>
      <c r="O36" s="303"/>
      <c r="P36" s="197">
        <f t="shared" si="30"/>
        <v>188.13559322033899</v>
      </c>
      <c r="Q36" s="429">
        <f>SUMIFS(BV_Data_An_Prec!$O:$O,BV_Data_An_Prec!$U:$U,$B36,BV_Data_An_Prec!$V:$V,$C36,BV_Data_An_Prec!$W:$W,Q$2)</f>
        <v>11100</v>
      </c>
      <c r="R36" s="303"/>
      <c r="S36" s="199">
        <f t="shared" si="31"/>
        <v>-818.91999999999825</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tr">
        <f t="shared" ref="A37:A39" si="32">+B37&amp;C37</f>
        <v>Véhicules neufsIntérêt de gros</v>
      </c>
      <c r="B37" s="24" t="str">
        <f t="shared" si="0"/>
        <v>Véhicules neufs</v>
      </c>
      <c r="C37" s="264" t="s">
        <v>109</v>
      </c>
      <c r="D37" s="301"/>
      <c r="E37" s="197">
        <f t="shared" si="26"/>
        <v>227.30566005107409</v>
      </c>
      <c r="F37" s="179">
        <f>+INDEX('Budget original'!$A$2:$AO$496,MATCH($A37,'Budget original'!$A$2:$A$496,0),MATCH(F$2,'Budget original'!$A$2:$AO$2,0))</f>
        <v>14752.911795329437</v>
      </c>
      <c r="G37" s="302"/>
      <c r="H37" s="197">
        <f t="shared" si="27"/>
        <v>226.96787377429902</v>
      </c>
      <c r="I37" s="179">
        <f>+INDEX('Budget révisé'!$A$2:$AO$496,MATCH($A37,'Budget révisé'!$A$2:$A$496,0),MATCH(I$2,'Budget révisé'!$A$2:$AO$2,0))</f>
        <v>14752.911795329437</v>
      </c>
      <c r="J37" s="303"/>
      <c r="K37" s="197">
        <f t="shared" ref="K37:K40" si="33">IF(L37=0,0,L37/J$24)</f>
        <v>159.04104477611941</v>
      </c>
      <c r="L37" s="630">
        <f>SUMIFS(BV_Data_An_Cour!$O:$O,BV_Data_An_Cour!$U:$U,$B37,BV_Data_An_Cour!$V:$V,$C37,BV_Data_An_Cour!$W:$W,L$2)</f>
        <v>10655.75</v>
      </c>
      <c r="M37" s="178"/>
      <c r="N37" s="304">
        <f t="shared" ref="N37:N40" si="34">L37-I37</f>
        <v>-4097.1617953294372</v>
      </c>
      <c r="O37" s="303"/>
      <c r="P37" s="197">
        <f t="shared" ref="P37:P40" si="35">IF(Q37=0,0,Q37/O$24)</f>
        <v>395.65966101694914</v>
      </c>
      <c r="Q37" s="180">
        <f>SUMIFS(BV_Data_An_Prec!$O:$O,BV_Data_An_Prec!$U:$U,$B37,BV_Data_An_Prec!$V:$V,$C37,BV_Data_An_Prec!$W:$W,Q$2)</f>
        <v>23343.919999999998</v>
      </c>
      <c r="R37" s="303"/>
      <c r="S37" s="199">
        <f t="shared" ref="S37:S40" si="36">L37-Q37</f>
        <v>-12688.169999999998</v>
      </c>
      <c r="T37" s="222"/>
      <c r="U37" s="222" t="s">
        <v>2955</v>
      </c>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tr">
        <f t="shared" si="32"/>
        <v>Véhicules neufs[...]</v>
      </c>
      <c r="B38" s="24" t="str">
        <f t="shared" si="0"/>
        <v>Véhicules neufs</v>
      </c>
      <c r="C38" s="264" t="s">
        <v>42</v>
      </c>
      <c r="D38" s="301"/>
      <c r="E38" s="197">
        <f t="shared" si="26"/>
        <v>0</v>
      </c>
      <c r="F38" s="179">
        <f>+INDEX('Budget original'!$A$2:$AO$496,MATCH($A38,'Budget original'!$A$2:$A$496,0),MATCH(F$2,'Budget original'!$A$2:$AO$2,0))</f>
        <v>0</v>
      </c>
      <c r="G38" s="302"/>
      <c r="H38" s="197">
        <f t="shared" si="27"/>
        <v>0</v>
      </c>
      <c r="I38" s="179">
        <f>+INDEX('Budget révisé'!$A$2:$AO$496,MATCH($A38,'Budget révisé'!$A$2:$A$496,0),MATCH(I$2,'Budget révisé'!$A$2:$AO$2,0))</f>
        <v>0</v>
      </c>
      <c r="J38" s="303"/>
      <c r="K38" s="197">
        <f t="shared" si="33"/>
        <v>0</v>
      </c>
      <c r="L38" s="630">
        <f>SUMIFS(BV_Data_An_Cour!$O:$O,BV_Data_An_Cour!$U:$U,$B38,BV_Data_An_Cour!$V:$V,$C38,BV_Data_An_Cour!$W:$W,L$2)</f>
        <v>0</v>
      </c>
      <c r="M38" s="178"/>
      <c r="N38" s="304">
        <f t="shared" si="34"/>
        <v>0</v>
      </c>
      <c r="O38" s="303"/>
      <c r="P38" s="197">
        <f t="shared" si="35"/>
        <v>0</v>
      </c>
      <c r="Q38" s="180">
        <f>SUMIFS(BV_Data_An_Prec!$O:$O,BV_Data_An_Prec!$U:$U,$B38,BV_Data_An_Prec!$V:$V,$C38,BV_Data_An_Prec!$W:$W,Q$2)</f>
        <v>0</v>
      </c>
      <c r="R38" s="303"/>
      <c r="S38" s="199">
        <f t="shared" si="36"/>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tr">
        <f t="shared" si="32"/>
        <v>Véhicules neufs[...]</v>
      </c>
      <c r="B39" s="24" t="str">
        <f t="shared" si="0"/>
        <v>Véhicules neufs</v>
      </c>
      <c r="C39" s="264" t="s">
        <v>42</v>
      </c>
      <c r="D39" s="301"/>
      <c r="E39" s="197">
        <f t="shared" si="26"/>
        <v>0</v>
      </c>
      <c r="F39" s="179">
        <f>+INDEX('Budget original'!$A$2:$AO$496,MATCH($A39,'Budget original'!$A$2:$A$496,0),MATCH(F$2,'Budget original'!$A$2:$AO$2,0))</f>
        <v>0</v>
      </c>
      <c r="G39" s="302"/>
      <c r="H39" s="197">
        <f t="shared" si="27"/>
        <v>0</v>
      </c>
      <c r="I39" s="179">
        <f>+INDEX('Budget révisé'!$A$2:$AO$496,MATCH($A39,'Budget révisé'!$A$2:$A$496,0),MATCH(I$2,'Budget révisé'!$A$2:$AO$2,0))</f>
        <v>0</v>
      </c>
      <c r="J39" s="303"/>
      <c r="K39" s="197">
        <f t="shared" si="33"/>
        <v>0</v>
      </c>
      <c r="L39" s="630">
        <f>SUMIFS(BV_Data_An_Cour!$O:$O,BV_Data_An_Cour!$U:$U,$B39,BV_Data_An_Cour!$V:$V,$C39,BV_Data_An_Cour!$W:$W,L$2)</f>
        <v>0</v>
      </c>
      <c r="M39" s="178"/>
      <c r="N39" s="304">
        <f t="shared" si="34"/>
        <v>0</v>
      </c>
      <c r="O39" s="303"/>
      <c r="P39" s="197">
        <f t="shared" si="35"/>
        <v>0</v>
      </c>
      <c r="Q39" s="180">
        <f>SUMIFS(BV_Data_An_Prec!$O:$O,BV_Data_An_Prec!$U:$U,$B39,BV_Data_An_Prec!$V:$V,$C39,BV_Data_An_Prec!$W:$W,Q$2)</f>
        <v>0</v>
      </c>
      <c r="R39" s="303"/>
      <c r="S39" s="199">
        <f t="shared" si="36"/>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26"/>
        <v>0</v>
      </c>
      <c r="F40" s="179">
        <f>+INDEX('Budget original'!$A$2:$AO$496,MATCH($A40,'Budget original'!$A$2:$A$496,0),MATCH(F$2,'Budget original'!$A$2:$AO$2,0))</f>
        <v>0</v>
      </c>
      <c r="G40" s="302"/>
      <c r="H40" s="197">
        <f t="shared" si="27"/>
        <v>0</v>
      </c>
      <c r="I40" s="179">
        <f>+INDEX('Budget révisé'!$A$2:$AO$496,MATCH($A40,'Budget révisé'!$A$2:$A$496,0),MATCH(I$2,'Budget révisé'!$A$2:$AO$2,0))</f>
        <v>0</v>
      </c>
      <c r="J40" s="303"/>
      <c r="K40" s="197">
        <f t="shared" si="33"/>
        <v>0</v>
      </c>
      <c r="L40" s="631">
        <f>SUMIFS(BV_Data_An_Cour!$O:$O,BV_Data_An_Cour!$U:$U,$B40,BV_Data_An_Cour!$V:$V,$C40,BV_Data_An_Cour!$W:$W,L$2)</f>
        <v>0</v>
      </c>
      <c r="M40" s="178"/>
      <c r="N40" s="304">
        <f t="shared" si="34"/>
        <v>0</v>
      </c>
      <c r="O40" s="303"/>
      <c r="P40" s="197">
        <f t="shared" si="35"/>
        <v>0</v>
      </c>
      <c r="Q40" s="180">
        <f>SUMIFS(BV_Data_An_Prec!$O:$O,BV_Data_An_Prec!$U:$U,$B40,BV_Data_An_Prec!$V:$V,$C40,BV_Data_An_Prec!$W:$W,Q$2)</f>
        <v>0</v>
      </c>
      <c r="R40" s="303"/>
      <c r="S40" s="199">
        <f t="shared" si="36"/>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0.56593933832369758</v>
      </c>
      <c r="F41" s="41">
        <f>SUM(F31:F40)</f>
        <v>83831.777224269623</v>
      </c>
      <c r="G41" s="42" t="s">
        <v>111</v>
      </c>
      <c r="H41" s="40">
        <f>I41/I$27</f>
        <v>0.56593933832369758</v>
      </c>
      <c r="I41" s="41">
        <f>SUM(I31:I40)</f>
        <v>83831.777224269623</v>
      </c>
      <c r="J41" s="42" t="s">
        <v>111</v>
      </c>
      <c r="K41" s="40">
        <f>L41/L$27</f>
        <v>0.49403623588108897</v>
      </c>
      <c r="L41" s="41">
        <f>SUM(L31:L40)</f>
        <v>94088.88</v>
      </c>
      <c r="M41" s="583"/>
      <c r="N41" s="41">
        <f t="shared" si="29"/>
        <v>10257.102775730382</v>
      </c>
      <c r="O41" s="42" t="s">
        <v>111</v>
      </c>
      <c r="P41" s="40">
        <f>Q41/Q$27</f>
        <v>1.2043244344042483</v>
      </c>
      <c r="Q41" s="582">
        <f>SUM(Q31:Q40)</f>
        <v>103135.96</v>
      </c>
      <c r="R41" s="44"/>
      <c r="S41" s="316">
        <f t="shared" si="31"/>
        <v>-9047.0800000000017</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+INDEX('Budget original'!$A$2:$AO$496,MATCH($A42,'Budget original'!$A$2:$A$496,0),MATCH(F$2,'Budget original'!$A$2:$AO$2,0))</f>
        <v>25144.300574712641</v>
      </c>
      <c r="G42" s="303"/>
      <c r="H42" s="178"/>
      <c r="I42" s="179">
        <f>+INDEX('Budget révisé'!$A$2:$AO$496,MATCH($A42,'Budget révisé'!$A$2:$A$496,0),MATCH(I$2,'Budget révisé'!$A$2:$AO$2,0))</f>
        <v>25144.300574712641</v>
      </c>
      <c r="J42" s="303"/>
      <c r="K42" s="178"/>
      <c r="L42" s="281">
        <f>SUMIFS(BV_Data_An_Cour!$O:$O,BV_Data_An_Cour!$U:$U,$B42,BV_Data_An_Cour!$V:$V,$C42,BV_Data_An_Cour!$W:$W,L$2)</f>
        <v>13797.04</v>
      </c>
      <c r="M42" s="303"/>
      <c r="N42" s="304">
        <f t="shared" si="29"/>
        <v>-11347.26057471264</v>
      </c>
      <c r="O42" s="303"/>
      <c r="P42" s="178"/>
      <c r="Q42" s="180">
        <f>SUMIFS(BV_Data_An_Prec!$O:$O,BV_Data_An_Prec!$U:$U,$B42,BV_Data_An_Prec!$V:$V,$C42,BV_Data_An_Prec!$W:$W,Q$2)</f>
        <v>20868.79</v>
      </c>
      <c r="R42" s="303"/>
      <c r="S42" s="199">
        <f t="shared" ref="S42:S53" si="37">L42-Q42</f>
        <v>-7071.75</v>
      </c>
      <c r="T42" s="222"/>
      <c r="U42" s="222" t="s">
        <v>2875</v>
      </c>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+INDEX('Budget original'!$A$2:$AO$496,MATCH($A43,'Budget original'!$A$2:$A$496,0),MATCH(F$2,'Budget original'!$A$2:$AO$2,0))</f>
        <v>10029.360540137932</v>
      </c>
      <c r="G43" s="302"/>
      <c r="H43" s="178"/>
      <c r="I43" s="177">
        <f>+INDEX('Budget révisé'!$A$2:$AO$496,MATCH($A43,'Budget révisé'!$A$2:$A$496,0),MATCH(I$2,'Budget révisé'!$A$2:$AO$2,0))</f>
        <v>10029.360540137932</v>
      </c>
      <c r="J43" s="303"/>
      <c r="K43" s="178"/>
      <c r="L43" s="281">
        <f>SUMIFS(BV_Data_An_Cour!$O:$O,BV_Data_An_Cour!$U:$U,$B43,BV_Data_An_Cour!$V:$V,$C43,BV_Data_An_Cour!$W:$W,L$2)</f>
        <v>8972.99</v>
      </c>
      <c r="M43" s="303"/>
      <c r="N43" s="304">
        <f t="shared" si="29"/>
        <v>-1056.370540137932</v>
      </c>
      <c r="O43" s="303"/>
      <c r="P43" s="178"/>
      <c r="Q43" s="180">
        <f>SUMIFS(BV_Data_An_Prec!$O:$O,BV_Data_An_Prec!$U:$U,$B43,BV_Data_An_Prec!$V:$V,$C43,BV_Data_An_Prec!$W:$W,Q$2)</f>
        <v>9131.9599999999991</v>
      </c>
      <c r="R43" s="303"/>
      <c r="S43" s="199">
        <f t="shared" si="37"/>
        <v>-158.96999999999935</v>
      </c>
      <c r="T43" s="222"/>
      <c r="U43" s="222"/>
      <c r="V43" s="514" t="s">
        <v>2878</v>
      </c>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+INDEX('Budget original'!$A$2:$AO$496,MATCH($A44,'Budget original'!$A$2:$A$496,0),MATCH(F$2,'Budget original'!$A$2:$AO$2,0))</f>
        <v>6319.9371168367816</v>
      </c>
      <c r="G44" s="393"/>
      <c r="H44" s="352"/>
      <c r="I44" s="179">
        <f>+INDEX('Budget révisé'!$A$2:$AO$496,MATCH($A44,'Budget révisé'!$A$2:$A$496,0),MATCH(I$2,'Budget révisé'!$A$2:$AO$2,0))</f>
        <v>6319.9371168367816</v>
      </c>
      <c r="J44" s="368"/>
      <c r="K44" s="352"/>
      <c r="L44" s="181">
        <f>SUMIFS(BV_Data_An_Cour!$O:$O,BV_Data_An_Cour!$U:$U,$B44,BV_Data_An_Cour!$V:$V,$C44,BV_Data_An_Cour!$W:$W,L$2)</f>
        <v>9321.31</v>
      </c>
      <c r="M44" s="368"/>
      <c r="N44" s="356">
        <f t="shared" si="29"/>
        <v>3001.3728831632179</v>
      </c>
      <c r="O44" s="368"/>
      <c r="P44" s="352"/>
      <c r="Q44" s="181">
        <f>SUMIFS(BV_Data_An_Prec!$O:$O,BV_Data_An_Prec!$U:$U,$B44,BV_Data_An_Prec!$V:$V,$C44,BV_Data_An_Prec!$W:$W,Q$2)</f>
        <v>6249.57</v>
      </c>
      <c r="R44" s="368"/>
      <c r="S44" s="201">
        <f t="shared" si="37"/>
        <v>3071.74</v>
      </c>
      <c r="T44" s="222"/>
      <c r="U44" s="222" t="s">
        <v>2939</v>
      </c>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+INDEX('Budget original'!$A$2:$AO$496,MATCH($A45,'Budget original'!$A$2:$A$496,0),MATCH(F$2,'Budget original'!$A$2:$AO$2,0))</f>
        <v>0</v>
      </c>
      <c r="G45" s="302"/>
      <c r="H45" s="178"/>
      <c r="I45" s="179">
        <f>+INDEX('Budget révisé'!$A$2:$AO$496,MATCH($A45,'Budget révisé'!$A$2:$A$496,0),MATCH(I$2,'Budget révisé'!$A$2:$AO$2,0))</f>
        <v>0</v>
      </c>
      <c r="J45" s="303"/>
      <c r="K45" s="178"/>
      <c r="L45" s="180">
        <f>SUMIFS(BV_Data_An_Cour!$O:$O,BV_Data_An_Cour!$U:$U,$B45,BV_Data_An_Cour!$V:$V,$C45,BV_Data_An_Cour!$W:$W,L$2)</f>
        <v>0</v>
      </c>
      <c r="M45" s="303"/>
      <c r="N45" s="304">
        <f t="shared" si="29"/>
        <v>0</v>
      </c>
      <c r="O45" s="303"/>
      <c r="P45" s="178"/>
      <c r="Q45" s="180">
        <f>SUMIFS(BV_Data_An_Prec!$O:$O,BV_Data_An_Prec!$U:$U,$B45,BV_Data_An_Prec!$V:$V,$C45,BV_Data_An_Prec!$W:$W,Q$2)</f>
        <v>0</v>
      </c>
      <c r="R45" s="303"/>
      <c r="S45" s="199">
        <f t="shared" si="37"/>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tr">
        <f t="shared" ref="A46:A48" si="38">+B46&amp;C46</f>
        <v>Véhicules neufs[...]</v>
      </c>
      <c r="B46" s="24" t="str">
        <f t="shared" si="0"/>
        <v>Véhicules neufs</v>
      </c>
      <c r="C46" s="305" t="s">
        <v>42</v>
      </c>
      <c r="D46" s="301"/>
      <c r="E46" s="178"/>
      <c r="F46" s="179">
        <f>+INDEX('Budget original'!$A$2:$AO$496,MATCH($A46,'Budget original'!$A$2:$A$496,0),MATCH(F$2,'Budget original'!$A$2:$AO$2,0))</f>
        <v>0</v>
      </c>
      <c r="G46" s="302"/>
      <c r="H46" s="178"/>
      <c r="I46" s="179">
        <f>+INDEX('Budget révisé'!$A$2:$AO$496,MATCH($A46,'Budget révisé'!$A$2:$A$496,0),MATCH(I$2,'Budget révisé'!$A$2:$AO$2,0))</f>
        <v>0</v>
      </c>
      <c r="J46" s="303"/>
      <c r="K46" s="178"/>
      <c r="L46" s="180">
        <f>SUMIFS(BV_Data_An_Cour!$O:$O,BV_Data_An_Cour!$U:$U,$B46,BV_Data_An_Cour!$V:$V,$C46,BV_Data_An_Cour!$W:$W,L$2)</f>
        <v>0</v>
      </c>
      <c r="M46" s="303"/>
      <c r="N46" s="304">
        <f t="shared" ref="N46:N48" si="39">L46-I46</f>
        <v>0</v>
      </c>
      <c r="O46" s="303"/>
      <c r="P46" s="178"/>
      <c r="Q46" s="180">
        <f>SUMIFS(BV_Data_An_Prec!$O:$O,BV_Data_An_Prec!$U:$U,$B46,BV_Data_An_Prec!$V:$V,$C46,BV_Data_An_Prec!$W:$W,Q$2)</f>
        <v>0</v>
      </c>
      <c r="R46" s="303"/>
      <c r="S46" s="199">
        <f t="shared" ref="S46:S48" si="40">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tr">
        <f t="shared" si="38"/>
        <v>Véhicules neufs[...]</v>
      </c>
      <c r="B47" s="24" t="str">
        <f t="shared" si="0"/>
        <v>Véhicules neufs</v>
      </c>
      <c r="C47" s="305" t="s">
        <v>42</v>
      </c>
      <c r="D47" s="301"/>
      <c r="E47" s="178"/>
      <c r="F47" s="179">
        <f>+INDEX('Budget original'!$A$2:$AO$496,MATCH($A47,'Budget original'!$A$2:$A$496,0),MATCH(F$2,'Budget original'!$A$2:$AO$2,0))</f>
        <v>0</v>
      </c>
      <c r="G47" s="302"/>
      <c r="H47" s="178"/>
      <c r="I47" s="179">
        <f>+INDEX('Budget révisé'!$A$2:$AO$496,MATCH($A47,'Budget révisé'!$A$2:$A$496,0),MATCH(I$2,'Budget révisé'!$A$2:$AO$2,0))</f>
        <v>0</v>
      </c>
      <c r="J47" s="303"/>
      <c r="K47" s="178"/>
      <c r="L47" s="180">
        <f>SUMIFS(BV_Data_An_Cour!$O:$O,BV_Data_An_Cour!$U:$U,$B47,BV_Data_An_Cour!$V:$V,$C47,BV_Data_An_Cour!$W:$W,L$2)</f>
        <v>0</v>
      </c>
      <c r="M47" s="303"/>
      <c r="N47" s="304">
        <f t="shared" si="39"/>
        <v>0</v>
      </c>
      <c r="O47" s="303"/>
      <c r="P47" s="178"/>
      <c r="Q47" s="180">
        <f>SUMIFS(BV_Data_An_Prec!$O:$O,BV_Data_An_Prec!$U:$U,$B47,BV_Data_An_Prec!$V:$V,$C47,BV_Data_An_Prec!$W:$W,Q$2)</f>
        <v>0</v>
      </c>
      <c r="R47" s="303"/>
      <c r="S47" s="199">
        <f t="shared" si="40"/>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tr">
        <f t="shared" si="38"/>
        <v>Véhicules neufs[...]</v>
      </c>
      <c r="B48" s="24" t="str">
        <f t="shared" si="0"/>
        <v>Véhicules neufs</v>
      </c>
      <c r="C48" s="305" t="s">
        <v>42</v>
      </c>
      <c r="D48" s="301"/>
      <c r="E48" s="178"/>
      <c r="F48" s="179">
        <f>+INDEX('Budget original'!$A$2:$AO$496,MATCH($A48,'Budget original'!$A$2:$A$496,0),MATCH(F$2,'Budget original'!$A$2:$AO$2,0))</f>
        <v>0</v>
      </c>
      <c r="G48" s="302"/>
      <c r="H48" s="178"/>
      <c r="I48" s="179">
        <f>+INDEX('Budget révisé'!$A$2:$AO$496,MATCH($A48,'Budget révisé'!$A$2:$A$496,0),MATCH(I$2,'Budget révisé'!$A$2:$AO$2,0))</f>
        <v>0</v>
      </c>
      <c r="J48" s="303"/>
      <c r="K48" s="178"/>
      <c r="L48" s="180">
        <f>SUMIFS(BV_Data_An_Cour!$O:$O,BV_Data_An_Cour!$U:$U,$B48,BV_Data_An_Cour!$V:$V,$C48,BV_Data_An_Cour!$W:$W,L$2)</f>
        <v>0</v>
      </c>
      <c r="M48" s="303"/>
      <c r="N48" s="304">
        <f t="shared" si="39"/>
        <v>0</v>
      </c>
      <c r="O48" s="303"/>
      <c r="P48" s="178"/>
      <c r="Q48" s="180">
        <f>SUMIFS(BV_Data_An_Prec!$O:$O,BV_Data_An_Prec!$U:$U,$B48,BV_Data_An_Prec!$V:$V,$C48,BV_Data_An_Prec!$W:$W,Q$2)</f>
        <v>0</v>
      </c>
      <c r="R48" s="303"/>
      <c r="S48" s="199">
        <f t="shared" si="40"/>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+INDEX('Budget original'!$A$2:$AO$496,MATCH($A49,'Budget original'!$A$2:$A$496,0),MATCH(F$2,'Budget original'!$A$2:$AO$2,0))</f>
        <v>10015.713694554535</v>
      </c>
      <c r="G49" s="302"/>
      <c r="H49" s="178"/>
      <c r="I49" s="177">
        <f>+INDEX('Budget révisé'!$A$2:$AO$496,MATCH($A49,'Budget révisé'!$A$2:$A$496,0),MATCH(I$2,'Budget révisé'!$A$2:$AO$2,0))</f>
        <v>10015.713694554535</v>
      </c>
      <c r="J49" s="303"/>
      <c r="K49" s="178"/>
      <c r="L49" s="177">
        <f>SUMIFS(BV_Data_An_Cour!$O:$O,BV_Data_An_Cour!$U:$U,$B49,BV_Data_An_Cour!$V:$V,$C49,BV_Data_An_Cour!$W:$W,L$2)</f>
        <v>15413.12</v>
      </c>
      <c r="M49" s="303"/>
      <c r="N49" s="304">
        <f t="shared" si="29"/>
        <v>5397.4063054454655</v>
      </c>
      <c r="O49" s="303"/>
      <c r="P49" s="178"/>
      <c r="Q49" s="177">
        <f>SUMIFS(BV_Data_An_Prec!$O:$O,BV_Data_An_Prec!$U:$U,$B49,BV_Data_An_Prec!$V:$V,$C49,BV_Data_An_Prec!$W:$W,Q$2)</f>
        <v>14778.52</v>
      </c>
      <c r="R49" s="303"/>
      <c r="S49" s="199">
        <f t="shared" si="37"/>
        <v>634.60000000000036</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+INDEX('Budget original'!$A$2:$AO$496,MATCH($A50,'Budget original'!$A$2:$A$496,0),MATCH(F$2,'Budget original'!$A$2:$AO$2,0))</f>
        <v>10015.713694554535</v>
      </c>
      <c r="G50" s="393"/>
      <c r="H50" s="352"/>
      <c r="I50" s="179">
        <f>+INDEX('Budget révisé'!$A$2:$AO$496,MATCH($A50,'Budget révisé'!$A$2:$A$496,0),MATCH(I$2,'Budget révisé'!$A$2:$AO$2,0))</f>
        <v>10015.713694554535</v>
      </c>
      <c r="J50" s="368"/>
      <c r="K50" s="352"/>
      <c r="L50" s="281">
        <f>SUMIFS(BV_Data_An_Cour!$O:$O,BV_Data_An_Cour!$U:$U,$B50,BV_Data_An_Cour!$V:$V,$C50,BV_Data_An_Cour!$W:$W,L$2)</f>
        <v>11115.9</v>
      </c>
      <c r="M50" s="368"/>
      <c r="N50" s="356">
        <f t="shared" si="29"/>
        <v>1100.1863054454643</v>
      </c>
      <c r="O50" s="368"/>
      <c r="P50" s="352"/>
      <c r="Q50" s="180">
        <f>SUMIFS(BV_Data_An_Prec!$O:$O,BV_Data_An_Prec!$U:$U,$B50,BV_Data_An_Prec!$V:$V,$C50,BV_Data_An_Prec!$W:$W,Q$2)</f>
        <v>12944.55</v>
      </c>
      <c r="R50" s="368"/>
      <c r="S50" s="201">
        <f t="shared" si="37"/>
        <v>-1828.6499999999996</v>
      </c>
      <c r="T50" s="222"/>
      <c r="U50" s="222" t="s">
        <v>2932</v>
      </c>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+INDEX('Budget original'!$A$2:$AO$496,MATCH($A51,'Budget original'!$A$2:$A$496,0),MATCH(F$2,'Budget original'!$A$2:$AO$2,0))</f>
        <v>7177.9281477640843</v>
      </c>
      <c r="G51" s="302"/>
      <c r="H51" s="178"/>
      <c r="I51" s="179">
        <f>+INDEX('Budget révisé'!$A$2:$AO$496,MATCH($A51,'Budget révisé'!$A$2:$A$496,0),MATCH(I$2,'Budget révisé'!$A$2:$AO$2,0))</f>
        <v>7177.9281477640843</v>
      </c>
      <c r="J51" s="303"/>
      <c r="K51" s="178"/>
      <c r="L51" s="180">
        <f>SUMIFS(BV_Data_An_Cour!$O:$O,BV_Data_An_Cour!$U:$U,$B51,BV_Data_An_Cour!$V:$V,$C51,BV_Data_An_Cour!$W:$W,L$2)</f>
        <v>7966.39</v>
      </c>
      <c r="M51" s="303"/>
      <c r="N51" s="304">
        <f t="shared" si="29"/>
        <v>788.46185223591601</v>
      </c>
      <c r="O51" s="303"/>
      <c r="P51" s="178"/>
      <c r="Q51" s="180">
        <f>SUMIFS(BV_Data_An_Prec!$O:$O,BV_Data_An_Prec!$U:$U,$B51,BV_Data_An_Prec!$V:$V,$C51,BV_Data_An_Prec!$W:$W,Q$2)</f>
        <v>8504.35</v>
      </c>
      <c r="R51" s="303"/>
      <c r="S51" s="199">
        <f t="shared" si="37"/>
        <v>-537.96</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+INDEX('Budget original'!$A$2:$AO$496,MATCH($A52,'Budget original'!$A$2:$A$496,0),MATCH(F$2,'Budget original'!$A$2:$AO$2,0))</f>
        <v>1669.2856157590895</v>
      </c>
      <c r="G52" s="302"/>
      <c r="H52" s="178"/>
      <c r="I52" s="179">
        <f>+INDEX('Budget révisé'!$A$2:$AO$496,MATCH($A52,'Budget révisé'!$A$2:$A$496,0),MATCH(I$2,'Budget révisé'!$A$2:$AO$2,0))</f>
        <v>1669.2856157590895</v>
      </c>
      <c r="J52" s="303"/>
      <c r="K52" s="178"/>
      <c r="L52" s="180">
        <f>SUMIFS(BV_Data_An_Cour!$O:$O,BV_Data_An_Cour!$U:$U,$B52,BV_Data_An_Cour!$V:$V,$C52,BV_Data_An_Cour!$W:$W,L$2)</f>
        <v>1852.65</v>
      </c>
      <c r="M52" s="303"/>
      <c r="N52" s="304">
        <f t="shared" si="29"/>
        <v>183.36438424091057</v>
      </c>
      <c r="O52" s="303"/>
      <c r="P52" s="178"/>
      <c r="Q52" s="180">
        <f>SUMIFS(BV_Data_An_Prec!$O:$O,BV_Data_An_Prec!$U:$U,$B52,BV_Data_An_Prec!$V:$V,$C52,BV_Data_An_Prec!$W:$W,Q$2)</f>
        <v>3007.6</v>
      </c>
      <c r="R52" s="303"/>
      <c r="S52" s="199">
        <f t="shared" si="37"/>
        <v>-1154.9499999999998</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+INDEX('Budget original'!$A$2:$AO$496,MATCH($A53,'Budget original'!$A$2:$A$496,0),MATCH(F$2,'Budget original'!$A$2:$AO$2,0))</f>
        <v>0</v>
      </c>
      <c r="G53" s="309"/>
      <c r="H53" s="308"/>
      <c r="I53" s="179">
        <f>+INDEX('Budget révisé'!$A$2:$AO$496,MATCH($A53,'Budget révisé'!$A$2:$A$496,0),MATCH(I$2,'Budget révisé'!$A$2:$AO$2,0))</f>
        <v>0</v>
      </c>
      <c r="J53" s="310"/>
      <c r="K53" s="308"/>
      <c r="L53" s="180">
        <f>SUMIFS(BV_Data_An_Cour!$O:$O,BV_Data_An_Cour!$U:$U,$B53,BV_Data_An_Cour!$V:$V,$C53,BV_Data_An_Cour!$W:$W,L$2)</f>
        <v>0</v>
      </c>
      <c r="M53" s="310"/>
      <c r="N53" s="311">
        <f t="shared" si="29"/>
        <v>0</v>
      </c>
      <c r="O53" s="310"/>
      <c r="P53" s="308"/>
      <c r="Q53" s="180">
        <f>SUMIFS(BV_Data_An_Prec!$O:$O,BV_Data_An_Prec!$U:$U,$B53,BV_Data_An_Prec!$V:$V,$C53,BV_Data_An_Prec!$W:$W,Q$2)</f>
        <v>0</v>
      </c>
      <c r="R53" s="310"/>
      <c r="S53" s="202">
        <f t="shared" si="37"/>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0.47507544170241911</v>
      </c>
      <c r="F54" s="41">
        <f>+SUM(F42:F53)</f>
        <v>70372.239384319604</v>
      </c>
      <c r="G54" s="42" t="s">
        <v>111</v>
      </c>
      <c r="H54" s="40">
        <f>I54/I$27</f>
        <v>0.47507544170241911</v>
      </c>
      <c r="I54" s="41">
        <f>+SUM(I42:I53)</f>
        <v>70372.239384319604</v>
      </c>
      <c r="J54" s="42" t="s">
        <v>111</v>
      </c>
      <c r="K54" s="40">
        <f>L54/L$27</f>
        <v>0.35935748796202266</v>
      </c>
      <c r="L54" s="41">
        <f>+SUM(L42:L53)</f>
        <v>68439.399999999994</v>
      </c>
      <c r="M54" s="44"/>
      <c r="N54" s="41">
        <f>+SUM(N42:N53)</f>
        <v>-1932.8393843195977</v>
      </c>
      <c r="O54" s="42" t="s">
        <v>111</v>
      </c>
      <c r="P54" s="40">
        <f>Q54/Q$27</f>
        <v>0.88144658178691881</v>
      </c>
      <c r="Q54" s="41">
        <f>+SUM(Q42:Q53)</f>
        <v>75485.340000000011</v>
      </c>
      <c r="R54" s="44"/>
      <c r="S54" s="316">
        <f>+SUM(S42:S53)</f>
        <v>-7045.9399999999987</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+INDEX('Budget original'!$A$2:$AO$496,MATCH($A55,'Budget original'!$A$2:$A$496,0),MATCH(F$2,'Budget original'!$A$2:$AO$2,0))</f>
        <v>0</v>
      </c>
      <c r="G55" s="302"/>
      <c r="H55" s="178"/>
      <c r="I55" s="179">
        <f>+INDEX('Budget révisé'!$A$2:$AO$496,MATCH($A55,'Budget révisé'!$A$2:$A$496,0),MATCH(I$2,'Budget révisé'!$A$2:$AO$2,0))</f>
        <v>0</v>
      </c>
      <c r="J55" s="303"/>
      <c r="K55" s="178"/>
      <c r="L55" s="180">
        <f>SUMIFS(BV_Data_An_Cour!$O:$O,BV_Data_An_Cour!$U:$U,$B55,BV_Data_An_Cour!$V:$V,$C55,BV_Data_An_Cour!$W:$W,L$2)</f>
        <v>0</v>
      </c>
      <c r="M55" s="303"/>
      <c r="N55" s="433">
        <f t="shared" ref="N55:N71" si="41">L55-I55</f>
        <v>0</v>
      </c>
      <c r="O55" s="303"/>
      <c r="P55" s="178"/>
      <c r="Q55" s="180">
        <f>SUMIFS(BV_Data_An_Prec!$O:$O,BV_Data_An_Prec!$U:$U,$B55,BV_Data_An_Prec!$V:$V,$C55,BV_Data_An_Prec!$W:$W,Q$2)</f>
        <v>0</v>
      </c>
      <c r="R55" s="303"/>
      <c r="S55" s="199">
        <f t="shared" ref="S55:S71" si="42">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+INDEX('Budget original'!$A$2:$AO$496,MATCH($A56,'Budget original'!$A$2:$A$496,0),MATCH(F$2,'Budget original'!$A$2:$AO$2,0))</f>
        <v>0</v>
      </c>
      <c r="G56" s="302"/>
      <c r="H56" s="178"/>
      <c r="I56" s="179">
        <f>+INDEX('Budget révisé'!$A$2:$AO$496,MATCH($A56,'Budget révisé'!$A$2:$A$496,0),MATCH(I$2,'Budget révisé'!$A$2:$AO$2,0))</f>
        <v>0</v>
      </c>
      <c r="J56" s="303"/>
      <c r="K56" s="178"/>
      <c r="L56" s="180">
        <f>SUMIFS(BV_Data_An_Cour!$O:$O,BV_Data_An_Cour!$U:$U,$B56,BV_Data_An_Cour!$V:$V,$C56,BV_Data_An_Cour!$W:$W,L$2)</f>
        <v>0</v>
      </c>
      <c r="M56" s="303"/>
      <c r="N56" s="433">
        <f t="shared" si="41"/>
        <v>0</v>
      </c>
      <c r="O56" s="303"/>
      <c r="P56" s="178"/>
      <c r="Q56" s="180">
        <f>SUMIFS(BV_Data_An_Prec!$O:$O,BV_Data_An_Prec!$U:$U,$B56,BV_Data_An_Prec!$V:$V,$C56,BV_Data_An_Prec!$W:$W,Q$2)</f>
        <v>0</v>
      </c>
      <c r="R56" s="303"/>
      <c r="S56" s="199">
        <f t="shared" si="42"/>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+INDEX('Budget original'!$A$2:$AO$496,MATCH($A57,'Budget original'!$A$2:$A$496,0),MATCH(F$2,'Budget original'!$A$2:$AO$2,0))</f>
        <v>9088.8775000000005</v>
      </c>
      <c r="G57" s="309"/>
      <c r="H57" s="308"/>
      <c r="I57" s="177">
        <f>+INDEX('Budget révisé'!$A$2:$AO$496,MATCH($A57,'Budget révisé'!$A$2:$A$496,0),MATCH(I$2,'Budget révisé'!$A$2:$AO$2,0))</f>
        <v>9088.8775000000005</v>
      </c>
      <c r="J57" s="310"/>
      <c r="K57" s="308"/>
      <c r="L57" s="177">
        <f>SUMIFS(BV_Data_An_Cour!$O:$O,BV_Data_An_Cour!$U:$U,$B57,BV_Data_An_Cour!$V:$V,$C57,BV_Data_An_Cour!$W:$W,L$2)</f>
        <v>5681.11</v>
      </c>
      <c r="M57" s="310"/>
      <c r="N57" s="434">
        <f t="shared" si="41"/>
        <v>-3407.7675000000008</v>
      </c>
      <c r="O57" s="310"/>
      <c r="P57" s="308"/>
      <c r="Q57" s="177">
        <f>SUMIFS(BV_Data_An_Prec!$O:$O,BV_Data_An_Prec!$U:$U,$B57,BV_Data_An_Prec!$V:$V,$C57,BV_Data_An_Prec!$W:$W,Q$2)</f>
        <v>15185.61</v>
      </c>
      <c r="R57" s="310"/>
      <c r="S57" s="202">
        <f t="shared" si="42"/>
        <v>-9504.5</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+INDEX('Budget original'!$A$2:$AO$496,MATCH($A58,'Budget original'!$A$2:$A$496,0),MATCH(F$2,'Budget original'!$A$2:$AO$2,0))</f>
        <v>6677.3962666666675</v>
      </c>
      <c r="G58" s="302"/>
      <c r="H58" s="178"/>
      <c r="I58" s="179">
        <f>+INDEX('Budget révisé'!$A$2:$AO$496,MATCH($A58,'Budget révisé'!$A$2:$A$496,0),MATCH(I$2,'Budget révisé'!$A$2:$AO$2,0))</f>
        <v>6677.3962666666675</v>
      </c>
      <c r="J58" s="303"/>
      <c r="K58" s="178"/>
      <c r="L58" s="180">
        <f>SUMIFS(BV_Data_An_Cour!$O:$O,BV_Data_An_Cour!$U:$U,$B58,BV_Data_An_Cour!$V:$V,$C58,BV_Data_An_Cour!$W:$W,L$2)</f>
        <v>5374.89</v>
      </c>
      <c r="M58" s="303"/>
      <c r="N58" s="304">
        <f t="shared" si="41"/>
        <v>-1302.5062666666672</v>
      </c>
      <c r="O58" s="303"/>
      <c r="P58" s="178"/>
      <c r="Q58" s="180">
        <f>SUMIFS(BV_Data_An_Prec!$O:$O,BV_Data_An_Prec!$U:$U,$B58,BV_Data_An_Prec!$V:$V,$C58,BV_Data_An_Prec!$W:$W,Q$2)</f>
        <v>6173.26</v>
      </c>
      <c r="R58" s="303"/>
      <c r="S58" s="199">
        <f t="shared" si="42"/>
        <v>-798.36999999999989</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+INDEX('Budget original'!$A$2:$AO$496,MATCH($A59,'Budget original'!$A$2:$A$496,0),MATCH(F$2,'Budget original'!$A$2:$AO$2,0))</f>
        <v>1596.4967999999999</v>
      </c>
      <c r="G59" s="302"/>
      <c r="H59" s="178"/>
      <c r="I59" s="179">
        <f>+INDEX('Budget révisé'!$A$2:$AO$496,MATCH($A59,'Budget révisé'!$A$2:$A$496,0),MATCH(I$2,'Budget révisé'!$A$2:$AO$2,0))</f>
        <v>1596.4967999999999</v>
      </c>
      <c r="J59" s="303"/>
      <c r="K59" s="178"/>
      <c r="L59" s="180">
        <f>SUMIFS(BV_Data_An_Cour!$O:$O,BV_Data_An_Cour!$U:$U,$B59,BV_Data_An_Cour!$V:$V,$C59,BV_Data_An_Cour!$W:$W,L$2)</f>
        <v>1790.95</v>
      </c>
      <c r="M59" s="303"/>
      <c r="N59" s="304">
        <f t="shared" si="41"/>
        <v>194.45320000000015</v>
      </c>
      <c r="O59" s="303"/>
      <c r="P59" s="178"/>
      <c r="Q59" s="180">
        <f>SUMIFS(BV_Data_An_Prec!$O:$O,BV_Data_An_Prec!$U:$U,$B59,BV_Data_An_Prec!$V:$V,$C59,BV_Data_An_Prec!$W:$W,Q$2)</f>
        <v>1944.64</v>
      </c>
      <c r="R59" s="303"/>
      <c r="S59" s="199">
        <f t="shared" si="42"/>
        <v>-153.69000000000005</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+INDEX('Budget original'!$A$2:$AO$496,MATCH($A60,'Budget original'!$A$2:$A$496,0),MATCH(F$2,'Budget original'!$A$2:$AO$2,0))</f>
        <v>9409.894666666667</v>
      </c>
      <c r="G60" s="309"/>
      <c r="H60" s="308"/>
      <c r="I60" s="177">
        <f>+INDEX('Budget révisé'!$A$2:$AO$496,MATCH($A60,'Budget révisé'!$A$2:$A$496,0),MATCH(I$2,'Budget révisé'!$A$2:$AO$2,0))</f>
        <v>9409.894666666667</v>
      </c>
      <c r="J60" s="310"/>
      <c r="K60" s="308"/>
      <c r="L60" s="177">
        <f>SUMIFS(BV_Data_An_Cour!$O:$O,BV_Data_An_Cour!$U:$U,$B60,BV_Data_An_Cour!$V:$V,$C60,BV_Data_An_Cour!$W:$W,L$2)</f>
        <v>6768.76</v>
      </c>
      <c r="M60" s="310"/>
      <c r="N60" s="311">
        <f t="shared" si="41"/>
        <v>-2641.1346666666668</v>
      </c>
      <c r="O60" s="310"/>
      <c r="P60" s="308"/>
      <c r="Q60" s="177">
        <f>SUMIFS(BV_Data_An_Prec!$O:$O,BV_Data_An_Prec!$U:$U,$B60,BV_Data_An_Prec!$V:$V,$C60,BV_Data_An_Prec!$W:$W,Q$2)</f>
        <v>3104.4</v>
      </c>
      <c r="R60" s="310"/>
      <c r="S60" s="202">
        <f t="shared" si="42"/>
        <v>3664.36</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+INDEX('Budget original'!$A$2:$AO$496,MATCH($A61,'Budget original'!$A$2:$A$496,0),MATCH(F$2,'Budget original'!$A$2:$AO$2,0))</f>
        <v>259.61362848623401</v>
      </c>
      <c r="G61" s="302"/>
      <c r="H61" s="178"/>
      <c r="I61" s="179">
        <f>+INDEX('Budget révisé'!$A$2:$AO$496,MATCH($A61,'Budget révisé'!$A$2:$A$496,0),MATCH(I$2,'Budget révisé'!$A$2:$AO$2,0))</f>
        <v>259.61362848623401</v>
      </c>
      <c r="J61" s="303"/>
      <c r="K61" s="178"/>
      <c r="L61" s="180">
        <f>SUMIFS(BV_Data_An_Cour!$O:$O,BV_Data_An_Cour!$U:$U,$B61,BV_Data_An_Cour!$V:$V,$C61,BV_Data_An_Cour!$W:$W,L$2)</f>
        <v>0</v>
      </c>
      <c r="M61" s="303"/>
      <c r="N61" s="304">
        <f t="shared" si="41"/>
        <v>-259.61362848623401</v>
      </c>
      <c r="O61" s="303"/>
      <c r="P61" s="178"/>
      <c r="Q61" s="180">
        <f>SUMIFS(BV_Data_An_Prec!$O:$O,BV_Data_An_Prec!$U:$U,$B61,BV_Data_An_Prec!$V:$V,$C61,BV_Data_An_Prec!$W:$W,Q$2)</f>
        <v>300</v>
      </c>
      <c r="R61" s="303"/>
      <c r="S61" s="199">
        <f t="shared" si="42"/>
        <v>-300</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+INDEX('Budget original'!$A$2:$AO$496,MATCH($A62,'Budget original'!$A$2:$A$496,0),MATCH(F$2,'Budget original'!$A$2:$AO$2,0))</f>
        <v>35</v>
      </c>
      <c r="G62" s="302"/>
      <c r="H62" s="178"/>
      <c r="I62" s="179">
        <f>+INDEX('Budget révisé'!$A$2:$AO$496,MATCH($A62,'Budget révisé'!$A$2:$A$496,0),MATCH(I$2,'Budget révisé'!$A$2:$AO$2,0))</f>
        <v>35</v>
      </c>
      <c r="J62" s="303"/>
      <c r="K62" s="178"/>
      <c r="L62" s="180">
        <f>SUMIFS(BV_Data_An_Cour!$O:$O,BV_Data_An_Cour!$U:$U,$B62,BV_Data_An_Cour!$V:$V,$C62,BV_Data_An_Cour!$W:$W,L$2)</f>
        <v>0</v>
      </c>
      <c r="M62" s="303"/>
      <c r="N62" s="304">
        <f t="shared" si="41"/>
        <v>-35</v>
      </c>
      <c r="O62" s="303"/>
      <c r="P62" s="178"/>
      <c r="Q62" s="180">
        <f>SUMIFS(BV_Data_An_Prec!$O:$O,BV_Data_An_Prec!$U:$U,$B62,BV_Data_An_Prec!$V:$V,$C62,BV_Data_An_Prec!$W:$W,Q$2)</f>
        <v>35</v>
      </c>
      <c r="R62" s="303"/>
      <c r="S62" s="199">
        <f t="shared" si="42"/>
        <v>-35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+INDEX('Budget original'!$A$2:$AO$496,MATCH($A63,'Budget original'!$A$2:$A$496,0),MATCH(F$2,'Budget original'!$A$2:$AO$2,0))</f>
        <v>697.6</v>
      </c>
      <c r="G63" s="302"/>
      <c r="H63" s="178"/>
      <c r="I63" s="179">
        <f>+INDEX('Budget révisé'!$A$2:$AO$496,MATCH($A63,'Budget révisé'!$A$2:$A$496,0),MATCH(I$2,'Budget révisé'!$A$2:$AO$2,0))</f>
        <v>697.6</v>
      </c>
      <c r="J63" s="303"/>
      <c r="K63" s="178"/>
      <c r="L63" s="554">
        <f>SUMIFS(BV_Data_An_Cour!$O:$O,BV_Data_An_Cour!$U:$U,$B63,BV_Data_An_Cour!$V:$V,$C63,BV_Data_An_Cour!$W:$W,L$2)</f>
        <v>466.66</v>
      </c>
      <c r="M63" s="303"/>
      <c r="N63" s="304">
        <f t="shared" si="41"/>
        <v>-230.94</v>
      </c>
      <c r="O63" s="303"/>
      <c r="P63" s="178"/>
      <c r="Q63" s="554">
        <f>SUMIFS(BV_Data_An_Prec!$O:$O,BV_Data_An_Prec!$U:$U,$B63,BV_Data_An_Prec!$V:$V,$C63,BV_Data_An_Prec!$W:$W,Q$2)</f>
        <v>592</v>
      </c>
      <c r="R63" s="303"/>
      <c r="S63" s="199">
        <f t="shared" si="42"/>
        <v>-125.33999999999997</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+INDEX('Budget original'!$A$2:$AO$496,MATCH($A64,'Budget original'!$A$2:$A$496,0),MATCH(F$2,'Budget original'!$A$2:$AO$2,0))</f>
        <v>589.91200000000003</v>
      </c>
      <c r="G64" s="302"/>
      <c r="H64" s="178"/>
      <c r="I64" s="179">
        <f>+INDEX('Budget révisé'!$A$2:$AO$496,MATCH($A64,'Budget révisé'!$A$2:$A$496,0),MATCH(I$2,'Budget révisé'!$A$2:$AO$2,0))</f>
        <v>589.91200000000003</v>
      </c>
      <c r="J64" s="303"/>
      <c r="K64" s="178"/>
      <c r="L64" s="180">
        <f>SUMIFS(BV_Data_An_Cour!$O:$O,BV_Data_An_Cour!$U:$U,$B64,BV_Data_An_Cour!$V:$V,$C64,BV_Data_An_Cour!$W:$W,L$2)</f>
        <v>216.99</v>
      </c>
      <c r="M64" s="303"/>
      <c r="N64" s="304">
        <f t="shared" si="41"/>
        <v>-372.92200000000003</v>
      </c>
      <c r="O64" s="303"/>
      <c r="P64" s="178"/>
      <c r="Q64" s="180">
        <f>SUMIFS(BV_Data_An_Prec!$O:$O,BV_Data_An_Prec!$U:$U,$B64,BV_Data_An_Prec!$V:$V,$C64,BV_Data_An_Prec!$W:$W,Q$2)</f>
        <v>644.29999999999995</v>
      </c>
      <c r="R64" s="303"/>
      <c r="S64" s="199">
        <f t="shared" si="42"/>
        <v>-427.30999999999995</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+INDEX('Budget original'!$A$2:$AO$496,MATCH($A65,'Budget original'!$A$2:$A$496,0),MATCH(F$2,'Budget original'!$A$2:$AO$2,0))</f>
        <v>276.8</v>
      </c>
      <c r="G65" s="302"/>
      <c r="H65" s="178"/>
      <c r="I65" s="179">
        <f>+INDEX('Budget révisé'!$A$2:$AO$496,MATCH($A65,'Budget révisé'!$A$2:$A$496,0),MATCH(I$2,'Budget révisé'!$A$2:$AO$2,0))</f>
        <v>276.8</v>
      </c>
      <c r="J65" s="303"/>
      <c r="K65" s="178"/>
      <c r="L65" s="281">
        <f>SUMIFS(BV_Data_An_Cour!$O:$O,BV_Data_An_Cour!$U:$U,$B65,BV_Data_An_Cour!$V:$V,$C65,BV_Data_An_Cour!$W:$W,L$2)</f>
        <v>242.49</v>
      </c>
      <c r="M65" s="303"/>
      <c r="N65" s="304">
        <f t="shared" si="41"/>
        <v>-34.31</v>
      </c>
      <c r="O65" s="303"/>
      <c r="P65" s="178"/>
      <c r="Q65" s="180">
        <f>SUMIFS(BV_Data_An_Prec!$O:$O,BV_Data_An_Prec!$U:$U,$B65,BV_Data_An_Prec!$V:$V,$C65,BV_Data_An_Prec!$W:$W,Q$2)</f>
        <v>130.47999999999999</v>
      </c>
      <c r="R65" s="303"/>
      <c r="S65" s="199">
        <f t="shared" si="42"/>
        <v>112.01000000000002</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+INDEX('Budget original'!$A$2:$AO$496,MATCH($A66,'Budget original'!$A$2:$A$496,0),MATCH(F$2,'Budget original'!$A$2:$AO$2,0))</f>
        <v>1349.1200000000001</v>
      </c>
      <c r="G66" s="302"/>
      <c r="H66" s="178"/>
      <c r="I66" s="179">
        <f>+INDEX('Budget révisé'!$A$2:$AO$496,MATCH($A66,'Budget révisé'!$A$2:$A$496,0),MATCH(I$2,'Budget révisé'!$A$2:$AO$2,0))</f>
        <v>1349.1200000000001</v>
      </c>
      <c r="J66" s="303"/>
      <c r="K66" s="178"/>
      <c r="L66" s="281">
        <f>SUMIFS(BV_Data_An_Cour!$O:$O,BV_Data_An_Cour!$U:$U,$B66,BV_Data_An_Cour!$V:$V,$C66,BV_Data_An_Cour!$W:$W,L$2)</f>
        <v>803.71</v>
      </c>
      <c r="M66" s="303"/>
      <c r="N66" s="304">
        <f t="shared" si="41"/>
        <v>-545.41000000000008</v>
      </c>
      <c r="O66" s="303"/>
      <c r="P66" s="178"/>
      <c r="Q66" s="180">
        <f>SUMIFS(BV_Data_An_Prec!$O:$O,BV_Data_An_Prec!$U:$U,$B66,BV_Data_An_Prec!$V:$V,$C66,BV_Data_An_Prec!$W:$W,Q$2)</f>
        <v>1632</v>
      </c>
      <c r="R66" s="303"/>
      <c r="S66" s="199">
        <f t="shared" si="42"/>
        <v>-828.29</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tr">
        <f t="shared" ref="A67:A69" si="43">+B67&amp;C67</f>
        <v>Véhicules neufsFormation</v>
      </c>
      <c r="B67" s="24" t="str">
        <f t="shared" si="0"/>
        <v>Véhicules neufs</v>
      </c>
      <c r="C67" s="264" t="s">
        <v>133</v>
      </c>
      <c r="D67" s="301"/>
      <c r="E67" s="178"/>
      <c r="F67" s="179">
        <f>+INDEX('Budget original'!$A$2:$AO$496,MATCH($A67,'Budget original'!$A$2:$A$496,0),MATCH(F$2,'Budget original'!$A$2:$AO$2,0))</f>
        <v>1438.3466666666668</v>
      </c>
      <c r="G67" s="302"/>
      <c r="H67" s="178"/>
      <c r="I67" s="179">
        <f>+INDEX('Budget révisé'!$A$2:$AO$496,MATCH($A67,'Budget révisé'!$A$2:$A$496,0),MATCH(I$2,'Budget révisé'!$A$2:$AO$2,0))</f>
        <v>1438.3466666666668</v>
      </c>
      <c r="J67" s="303"/>
      <c r="K67" s="178"/>
      <c r="L67" s="281">
        <f>SUMIFS(BV_Data_An_Cour!$O:$O,BV_Data_An_Cour!$U:$U,$B67,BV_Data_An_Cour!$V:$V,$C67,BV_Data_An_Cour!$W:$W,L$2)</f>
        <v>523.33000000000004</v>
      </c>
      <c r="M67" s="303"/>
      <c r="N67" s="304">
        <f t="shared" ref="N67" si="44">L67-I67</f>
        <v>-915.01666666666677</v>
      </c>
      <c r="O67" s="303"/>
      <c r="P67" s="178"/>
      <c r="Q67" s="180">
        <f>SUMIFS(BV_Data_An_Prec!$O:$O,BV_Data_An_Prec!$U:$U,$B67,BV_Data_An_Prec!$V:$V,$C67,BV_Data_An_Prec!$W:$W,Q$2)</f>
        <v>4555.83</v>
      </c>
      <c r="R67" s="303"/>
      <c r="S67" s="199">
        <f t="shared" ref="S67" si="45">L67-Q67</f>
        <v>-4032.5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tr">
        <f t="shared" si="43"/>
        <v>Véhicules neufsFrais bancaires</v>
      </c>
      <c r="B68" s="24" t="str">
        <f t="shared" si="0"/>
        <v>Véhicules neufs</v>
      </c>
      <c r="C68" s="264" t="s">
        <v>134</v>
      </c>
      <c r="D68" s="301"/>
      <c r="E68" s="178"/>
      <c r="F68" s="179">
        <f>+INDEX('Budget original'!$A$2:$AO$496,MATCH($A68,'Budget original'!$A$2:$A$496,0),MATCH(F$2,'Budget original'!$A$2:$AO$2,0))</f>
        <v>2287.3779570920533</v>
      </c>
      <c r="G68" s="302"/>
      <c r="H68" s="178"/>
      <c r="I68" s="179">
        <f>+INDEX('Budget révisé'!$A$2:$AO$496,MATCH($A68,'Budget révisé'!$A$2:$A$496,0),MATCH(I$2,'Budget révisé'!$A$2:$AO$2,0))</f>
        <v>2287.3779570920533</v>
      </c>
      <c r="J68" s="303"/>
      <c r="K68" s="178"/>
      <c r="L68" s="984">
        <f>AF447*W3</f>
        <v>3168.0360000000001</v>
      </c>
      <c r="M68" s="303"/>
      <c r="N68" s="304">
        <f t="shared" ref="N68:N69" si="46">L68-I68</f>
        <v>880.65804290794676</v>
      </c>
      <c r="O68" s="303"/>
      <c r="P68" s="178"/>
      <c r="Q68" s="281">
        <f>AL447*W3</f>
        <v>3002.346</v>
      </c>
      <c r="R68" s="303"/>
      <c r="S68" s="199">
        <f t="shared" ref="S68:S69" si="47">L68-Q68</f>
        <v>165.69000000000005</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tr">
        <f t="shared" si="43"/>
        <v>Véhicules neufs[...]</v>
      </c>
      <c r="B69" s="24" t="str">
        <f t="shared" si="0"/>
        <v>Véhicules neufs</v>
      </c>
      <c r="C69" s="264" t="s">
        <v>42</v>
      </c>
      <c r="D69" s="301"/>
      <c r="E69" s="178"/>
      <c r="F69" s="179">
        <f>+INDEX('Budget original'!$A$2:$AO$496,MATCH($A69,'Budget original'!$A$2:$A$496,0),MATCH(F$2,'Budget original'!$A$2:$AO$2,0))</f>
        <v>0</v>
      </c>
      <c r="G69" s="302"/>
      <c r="H69" s="178"/>
      <c r="I69" s="179">
        <f>+INDEX('Budget révisé'!$A$2:$AO$496,MATCH($A69,'Budget révisé'!$A$2:$A$496,0),MATCH(I$2,'Budget révisé'!$A$2:$AO$2,0))</f>
        <v>0</v>
      </c>
      <c r="J69" s="303"/>
      <c r="K69" s="178"/>
      <c r="L69" s="281"/>
      <c r="M69" s="303"/>
      <c r="N69" s="304">
        <f t="shared" si="46"/>
        <v>0</v>
      </c>
      <c r="O69" s="303"/>
      <c r="P69" s="178"/>
      <c r="Q69" s="180">
        <f>SUMIFS(BV_Data_An_Prec!$O:$O,BV_Data_An_Prec!$U:$U,$B69,BV_Data_An_Prec!$V:$V,$C69,BV_Data_An_Prec!$W:$W,Q$2)</f>
        <v>0</v>
      </c>
      <c r="R69" s="303"/>
      <c r="S69" s="199">
        <f t="shared" si="47"/>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+INDEX('Budget original'!$A$2:$AO$496,MATCH($A70,'Budget original'!$A$2:$A$496,0),MATCH(F$2,'Budget original'!$A$2:$AO$2,0))</f>
        <v>0</v>
      </c>
      <c r="G70" s="302"/>
      <c r="H70" s="178"/>
      <c r="I70" s="179">
        <f>+INDEX('Budget révisé'!$A$2:$AO$496,MATCH($A70,'Budget révisé'!$A$2:$A$496,0),MATCH(I$2,'Budget révisé'!$A$2:$AO$2,0))</f>
        <v>0</v>
      </c>
      <c r="J70" s="303"/>
      <c r="K70" s="178"/>
      <c r="L70" s="281">
        <f>SUMIFS(BV_Data_An_Cour!$O:$O,BV_Data_An_Cour!$U:$U,$B70,BV_Data_An_Cour!$V:$V,$C70,BV_Data_An_Cour!$W:$W,L$2)</f>
        <v>0</v>
      </c>
      <c r="M70" s="303"/>
      <c r="N70" s="304">
        <f t="shared" si="41"/>
        <v>0</v>
      </c>
      <c r="O70" s="303"/>
      <c r="P70" s="178"/>
      <c r="Q70" s="180">
        <f>SUMIFS(BV_Data_An_Prec!$O:$O,BV_Data_An_Prec!$U:$U,$B70,BV_Data_An_Prec!$V:$V,$C70,BV_Data_An_Prec!$W:$W,Q$2)</f>
        <v>0</v>
      </c>
      <c r="R70" s="303"/>
      <c r="S70" s="199">
        <f t="shared" si="42"/>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+INDEX('Budget original'!$A$2:$AO$496,MATCH($A71,'Budget original'!$A$2:$A$496,0),MATCH(F$2,'Budget original'!$A$2:$AO$2,0))</f>
        <v>0</v>
      </c>
      <c r="G71" s="302"/>
      <c r="H71" s="178"/>
      <c r="I71" s="179">
        <f>+INDEX('Budget révisé'!$A$2:$AO$496,MATCH($A71,'Budget révisé'!$A$2:$A$496,0),MATCH(I$2,'Budget révisé'!$A$2:$AO$2,0))</f>
        <v>0</v>
      </c>
      <c r="J71" s="303"/>
      <c r="K71" s="178"/>
      <c r="L71" s="180">
        <f>SUMIFS(BV_Data_An_Cour!$O:$O,BV_Data_An_Cour!$U:$U,$B71,BV_Data_An_Cour!$V:$V,$C71,BV_Data_An_Cour!$W:$W,L$2)*0.32</f>
        <v>0</v>
      </c>
      <c r="M71" s="303"/>
      <c r="N71" s="304">
        <f t="shared" si="41"/>
        <v>0</v>
      </c>
      <c r="O71" s="303"/>
      <c r="P71" s="178"/>
      <c r="Q71" s="180">
        <f>SUMIFS(BV_Data_An_Prec!$O:$O,BV_Data_An_Prec!$U:$U,$B71,BV_Data_An_Prec!$V:$V,$C71,BV_Data_An_Prec!$W:$W,Q$2)*0.32</f>
        <v>0</v>
      </c>
      <c r="R71" s="303"/>
      <c r="S71" s="199">
        <f t="shared" si="42"/>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0.2275485314468087</v>
      </c>
      <c r="F72" s="41">
        <f>+SUM(F55:F71)</f>
        <v>33706.435485578288</v>
      </c>
      <c r="G72" s="42" t="s">
        <v>111</v>
      </c>
      <c r="H72" s="40">
        <f>I72/I$27</f>
        <v>0.2275485314468087</v>
      </c>
      <c r="I72" s="41">
        <f>+SUM(I55:I71)</f>
        <v>33706.435485578288</v>
      </c>
      <c r="J72" s="42" t="s">
        <v>111</v>
      </c>
      <c r="K72" s="40">
        <f>L72/L$27</f>
        <v>0.1314623861934946</v>
      </c>
      <c r="L72" s="41">
        <f>+SUM(L55:L71)</f>
        <v>25036.926000000003</v>
      </c>
      <c r="M72" s="44"/>
      <c r="N72" s="41">
        <f>+SUM(N55:N71)</f>
        <v>-8669.5094855782881</v>
      </c>
      <c r="O72" s="42" t="s">
        <v>111</v>
      </c>
      <c r="P72" s="40">
        <f>Q72/Q$27</f>
        <v>0.43555264355714779</v>
      </c>
      <c r="Q72" s="41">
        <f>+SUM(Q55:Q71)</f>
        <v>37299.866000000002</v>
      </c>
      <c r="R72" s="44"/>
      <c r="S72" s="316">
        <f>+SUM(S55:S71)</f>
        <v>-12262.939999999997</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1.2685633114729253</v>
      </c>
      <c r="F74" s="41">
        <f>F41+F54+F72</f>
        <v>187910.4520941675</v>
      </c>
      <c r="G74" s="42" t="s">
        <v>111</v>
      </c>
      <c r="H74" s="40">
        <f>I74/I$27</f>
        <v>1.2685633114729253</v>
      </c>
      <c r="I74" s="41">
        <f>I41+I54+I72</f>
        <v>187910.4520941675</v>
      </c>
      <c r="J74" s="42" t="s">
        <v>111</v>
      </c>
      <c r="K74" s="40">
        <f>L74/L$27</f>
        <v>0.98485611003660634</v>
      </c>
      <c r="L74" s="41">
        <f>L41+L54+L72</f>
        <v>187565.20600000001</v>
      </c>
      <c r="M74" s="44"/>
      <c r="N74" s="46">
        <f>L74-I74</f>
        <v>-345.24609416749445</v>
      </c>
      <c r="O74" s="42" t="s">
        <v>111</v>
      </c>
      <c r="P74" s="40">
        <f>Q74/Q$27</f>
        <v>2.5213236597483148</v>
      </c>
      <c r="Q74" s="41">
        <f>Q41+Q54+Q72</f>
        <v>215921.16600000003</v>
      </c>
      <c r="R74" s="44"/>
      <c r="S74" s="299">
        <f>L74-Q74</f>
        <v>-28355.960000000021</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+INDEX('Budget original'!$A$2:$AO$496,MATCH($A75,'Budget original'!$A$2:$A$496,0),MATCH(F$2,'Budget original'!$A$2:$AO$2,0))</f>
        <v>6561.4807420660518</v>
      </c>
      <c r="G75" s="302"/>
      <c r="H75" s="178"/>
      <c r="I75" s="179">
        <f>+INDEX('Budget révisé'!$A$2:$AO$496,MATCH($A75,'Budget révisé'!$A$2:$A$496,0),MATCH(I$2,'Budget révisé'!$A$2:$AO$2,0))</f>
        <v>6561.4807420660518</v>
      </c>
      <c r="J75" s="303"/>
      <c r="K75" s="178"/>
      <c r="L75" s="554">
        <f>-SUMIFS(BV_Data_An_Cour!$O:$O,BV_Data_An_Cour!$U:$U,$B75,BV_Data_An_Cour!$V:$V,$C75,BV_Data_An_Cour!$W:$W,L$2)-L155</f>
        <v>20000</v>
      </c>
      <c r="M75" s="303"/>
      <c r="N75" s="304">
        <f>L75-I75</f>
        <v>13438.519257933949</v>
      </c>
      <c r="O75" s="303"/>
      <c r="P75" s="178"/>
      <c r="Q75" s="554">
        <f>-SUMIFS(BV_Data_An_Prec!$O:$O,BV_Data_An_Prec!$U:$U,$B75,BV_Data_An_Prec!$V:$V,$C75,BV_Data_An_Prec!$W:$W,Q$2)-Q155</f>
        <v>35157.39</v>
      </c>
      <c r="R75" s="303"/>
      <c r="S75" s="199"/>
      <c r="T75" s="222"/>
      <c r="U75" s="222"/>
      <c r="V75" s="514" t="s">
        <v>2922</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+INDEX('Budget original'!$A$2:$AO$496,MATCH($A76,'Budget original'!$A$2:$A$496,0),MATCH(F$2,'Budget original'!$A$2:$AO$2,0))</f>
        <v>0</v>
      </c>
      <c r="G76" s="302"/>
      <c r="H76" s="178"/>
      <c r="I76" s="179">
        <f>+INDEX('Budget révisé'!$A$2:$AO$496,MATCH($A76,'Budget révisé'!$A$2:$A$496,0),MATCH(I$2,'Budget révisé'!$A$2:$AO$2,0))</f>
        <v>0</v>
      </c>
      <c r="J76" s="303"/>
      <c r="K76" s="178"/>
      <c r="L76" s="984">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+INDEX('Budget original'!$A$2:$AO$496,MATCH($A77,'Budget original'!$A$2:$A$496,0),MATCH(F$2,'Budget original'!$A$2:$AO$2,0))</f>
        <v>0</v>
      </c>
      <c r="G77" s="302"/>
      <c r="H77" s="178"/>
      <c r="I77" s="179">
        <f>+INDEX('Budget révisé'!$A$2:$AO$496,MATCH($A77,'Budget révisé'!$A$2:$A$496,0),MATCH(I$2,'Budget révisé'!$A$2:$AO$2,0))</f>
        <v>0</v>
      </c>
      <c r="J77" s="303"/>
      <c r="K77" s="178"/>
      <c r="L77" s="984">
        <f>-SUMIFS(BV_Data_An_Cour!$O:$O,BV_Data_An_Cour!$U:$U,$B77,BV_Data_An_Cour!$V:$V,$C77,BV_Data_An_Cour!$W:$W,L$2)</f>
        <v>0</v>
      </c>
      <c r="M77" s="303"/>
      <c r="N77" s="304">
        <f t="shared" ref="N77:N82" si="48">L77-I77</f>
        <v>0</v>
      </c>
      <c r="O77" s="303"/>
      <c r="P77" s="178"/>
      <c r="Q77" s="554">
        <f>-SUMIFS(BV_Data_An_Prec!$O:$O,BV_Data_An_Prec!$U:$U,$B77,BV_Data_An_Prec!$V:$V,$C77,BV_Data_An_Prec!$W:$W,Q$2)</f>
        <v>0</v>
      </c>
      <c r="R77" s="303"/>
      <c r="S77" s="199">
        <f t="shared" ref="S77:S82" si="49">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+INDEX('Budget original'!$A$2:$AO$496,MATCH($A78,'Budget original'!$A$2:$A$496,0),MATCH(F$2,'Budget original'!$A$2:$AO$2,0))</f>
        <v>51748.318550395255</v>
      </c>
      <c r="G78" s="302"/>
      <c r="H78" s="178"/>
      <c r="I78" s="179">
        <f>+INDEX('Budget révisé'!$A$2:$AO$496,MATCH($A78,'Budget révisé'!$A$2:$A$496,0),MATCH(I$2,'Budget révisé'!$A$2:$AO$2,0))</f>
        <v>51748.318550395255</v>
      </c>
      <c r="J78" s="303"/>
      <c r="K78" s="178"/>
      <c r="L78" s="281">
        <f>-SUMIFS(BV_Data_An_Cour!$O:$O,BV_Data_An_Cour!$U:$U,$B78,BV_Data_An_Cour!$V:$V,$C78,BV_Data_An_Cour!$W:$W,L$2)</f>
        <v>37897</v>
      </c>
      <c r="M78" s="303"/>
      <c r="N78" s="304">
        <f t="shared" si="48"/>
        <v>-13851.318550395255</v>
      </c>
      <c r="O78" s="303"/>
      <c r="P78" s="178"/>
      <c r="Q78" s="554">
        <f>-SUMIFS(BV_Data_An_Prec!$O:$O,BV_Data_An_Prec!$U:$U,$B78,BV_Data_An_Prec!$V:$V,$C78,BV_Data_An_Prec!$W:$W,Q$2)</f>
        <v>119566</v>
      </c>
      <c r="R78" s="303"/>
      <c r="S78" s="199">
        <f t="shared" si="49"/>
        <v>-81669</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tr">
        <f t="shared" ref="A79:A81" si="50">+B79&amp;C79</f>
        <v>Véhicules neufs[...]</v>
      </c>
      <c r="B79" s="24" t="str">
        <f t="shared" si="0"/>
        <v>Véhicules neufs</v>
      </c>
      <c r="C79" s="264" t="s">
        <v>42</v>
      </c>
      <c r="D79" s="301"/>
      <c r="E79" s="178"/>
      <c r="F79" s="179">
        <f>+INDEX('Budget original'!$A$2:$AO$496,MATCH($A79,'Budget original'!$A$2:$A$496,0),MATCH(F$2,'Budget original'!$A$2:$AO$2,0))</f>
        <v>0</v>
      </c>
      <c r="G79" s="302"/>
      <c r="H79" s="178"/>
      <c r="I79" s="179">
        <f>+INDEX('Budget révisé'!$A$2:$AO$496,MATCH($A79,'Budget révisé'!$A$2:$A$496,0),MATCH(I$2,'Budget révisé'!$A$2:$AO$2,0))</f>
        <v>0</v>
      </c>
      <c r="J79" s="303"/>
      <c r="K79" s="178"/>
      <c r="L79" s="281">
        <f>-SUMIFS(BV_Data_An_Cour!$O:$O,BV_Data_An_Cour!$U:$U,$B79,BV_Data_An_Cour!$V:$V,$C79,BV_Data_An_Cour!$W:$W,L$2)</f>
        <v>0</v>
      </c>
      <c r="M79" s="303"/>
      <c r="N79" s="304">
        <f t="shared" ref="N79:N81" si="51">L79-I79</f>
        <v>0</v>
      </c>
      <c r="O79" s="303"/>
      <c r="P79" s="178"/>
      <c r="Q79" s="554">
        <f>-SUMIFS(BV_Data_An_Prec!$O:$O,BV_Data_An_Prec!$U:$U,$B79,BV_Data_An_Prec!$V:$V,$C79,BV_Data_An_Prec!$W:$W,Q$2)</f>
        <v>0</v>
      </c>
      <c r="R79" s="303"/>
      <c r="S79" s="199">
        <f t="shared" ref="S79:S81" si="52">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tr">
        <f t="shared" si="50"/>
        <v>Véhicules neufs[...]</v>
      </c>
      <c r="B80" s="24" t="str">
        <f t="shared" si="0"/>
        <v>Véhicules neufs</v>
      </c>
      <c r="C80" s="264" t="s">
        <v>42</v>
      </c>
      <c r="D80" s="301"/>
      <c r="E80" s="178"/>
      <c r="F80" s="179">
        <f>+INDEX('Budget original'!$A$2:$AO$496,MATCH($A80,'Budget original'!$A$2:$A$496,0),MATCH(F$2,'Budget original'!$A$2:$AO$2,0))</f>
        <v>0</v>
      </c>
      <c r="G80" s="302"/>
      <c r="H80" s="178"/>
      <c r="I80" s="179">
        <f>+INDEX('Budget révisé'!$A$2:$AO$496,MATCH($A80,'Budget révisé'!$A$2:$A$496,0),MATCH(I$2,'Budget révisé'!$A$2:$AO$2,0))</f>
        <v>0</v>
      </c>
      <c r="J80" s="303"/>
      <c r="K80" s="178"/>
      <c r="L80" s="281">
        <f>-SUMIFS(BV_Data_An_Cour!$O:$O,BV_Data_An_Cour!$U:$U,$B80,BV_Data_An_Cour!$V:$V,$C80,BV_Data_An_Cour!$W:$W,L$2)</f>
        <v>0</v>
      </c>
      <c r="M80" s="303"/>
      <c r="N80" s="304">
        <f t="shared" si="51"/>
        <v>0</v>
      </c>
      <c r="O80" s="303"/>
      <c r="P80" s="178"/>
      <c r="Q80" s="554">
        <f>-SUMIFS(BV_Data_An_Prec!$O:$O,BV_Data_An_Prec!$U:$U,$B80,BV_Data_An_Prec!$V:$V,$C80,BV_Data_An_Prec!$W:$W,Q$2)</f>
        <v>0</v>
      </c>
      <c r="R80" s="303"/>
      <c r="S80" s="199">
        <f t="shared" si="52"/>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tr">
        <f t="shared" si="50"/>
        <v>Véhicules neufs[...]</v>
      </c>
      <c r="B81" s="24" t="str">
        <f t="shared" si="0"/>
        <v>Véhicules neufs</v>
      </c>
      <c r="C81" s="264" t="s">
        <v>42</v>
      </c>
      <c r="D81" s="301"/>
      <c r="E81" s="178"/>
      <c r="F81" s="179">
        <f>+INDEX('Budget original'!$A$2:$AO$496,MATCH($A81,'Budget original'!$A$2:$A$496,0),MATCH(F$2,'Budget original'!$A$2:$AO$2,0))</f>
        <v>0</v>
      </c>
      <c r="G81" s="302"/>
      <c r="H81" s="178"/>
      <c r="I81" s="179">
        <f>+INDEX('Budget révisé'!$A$2:$AO$496,MATCH($A81,'Budget révisé'!$A$2:$A$496,0),MATCH(I$2,'Budget révisé'!$A$2:$AO$2,0))</f>
        <v>0</v>
      </c>
      <c r="J81" s="303"/>
      <c r="K81" s="178"/>
      <c r="L81" s="281">
        <f>-SUMIFS(BV_Data_An_Cour!$O:$O,BV_Data_An_Cour!$U:$U,$B81,BV_Data_An_Cour!$V:$V,$C81,BV_Data_An_Cour!$W:$W,L$2)</f>
        <v>0</v>
      </c>
      <c r="M81" s="303"/>
      <c r="N81" s="304">
        <f t="shared" si="51"/>
        <v>0</v>
      </c>
      <c r="O81" s="303"/>
      <c r="P81" s="178"/>
      <c r="Q81" s="554">
        <f>-SUMIFS(BV_Data_An_Prec!$O:$O,BV_Data_An_Prec!$U:$U,$B81,BV_Data_An_Prec!$V:$V,$C81,BV_Data_An_Prec!$W:$W,Q$2)</f>
        <v>0</v>
      </c>
      <c r="R81" s="303"/>
      <c r="S81" s="199">
        <f t="shared" si="52"/>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+INDEX('Budget original'!$A$2:$AO$496,MATCH($A82,'Budget original'!$A$2:$A$496,0),MATCH(F$2,'Budget original'!$A$2:$AO$2,0))</f>
        <v>20386.160176881524</v>
      </c>
      <c r="G82" s="302"/>
      <c r="H82" s="178"/>
      <c r="I82" s="179">
        <f>+INDEX('Budget révisé'!$A$2:$AO$496,MATCH($A82,'Budget révisé'!$A$2:$A$496,0),MATCH(I$2,'Budget révisé'!$A$2:$AO$2,0))</f>
        <v>20386.160176881524</v>
      </c>
      <c r="J82" s="303"/>
      <c r="K82" s="178"/>
      <c r="L82" s="984">
        <f>-SUMIFS(BV_Data_An_Cour!$O:$O,BV_Data_An_Cour!$U:$U,$B82,BV_Data_An_Cour!$V:$V,$C82,BV_Data_An_Cour!$W:$W,L$2)-L158</f>
        <v>20102</v>
      </c>
      <c r="M82" s="303"/>
      <c r="N82" s="304">
        <f t="shared" si="48"/>
        <v>-284.16017688152351</v>
      </c>
      <c r="O82" s="303"/>
      <c r="P82" s="178"/>
      <c r="Q82" s="554">
        <f>-SUMIFS(BV_Data_An_Prec!$O:$O,BV_Data_An_Prec!$U:$U,$B82,BV_Data_An_Prec!$V:$V,$C82,BV_Data_An_Prec!$W:$W,Q$2)-Q158</f>
        <v>20074</v>
      </c>
      <c r="R82" s="303"/>
      <c r="S82" s="199">
        <f t="shared" si="49"/>
        <v>28</v>
      </c>
      <c r="T82" s="222"/>
      <c r="U82" s="222" t="s">
        <v>2942</v>
      </c>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78695.959469342837</v>
      </c>
      <c r="G83" s="42"/>
      <c r="H83" s="40"/>
      <c r="I83" s="41">
        <f>+SUM(I75:I82)</f>
        <v>78695.959469342837</v>
      </c>
      <c r="J83" s="42"/>
      <c r="K83" s="40"/>
      <c r="L83" s="41">
        <f>+SUM(L75:L82)</f>
        <v>77999</v>
      </c>
      <c r="M83" s="44"/>
      <c r="N83" s="41">
        <f>+SUM(N75:N82)</f>
        <v>-696.95946934282983</v>
      </c>
      <c r="O83" s="42"/>
      <c r="P83" s="40"/>
      <c r="Q83" s="41">
        <f>+SUM(Q75:Q82)</f>
        <v>174797.39</v>
      </c>
      <c r="R83" s="44"/>
      <c r="S83" s="316">
        <f>+SUM(S75:S82)</f>
        <v>-81641</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38914.06382537348</v>
      </c>
      <c r="G85" s="436"/>
      <c r="H85" s="346"/>
      <c r="I85" s="343">
        <f>I27-I74+I83</f>
        <v>38914.06382537348</v>
      </c>
      <c r="J85" s="436"/>
      <c r="K85" s="342"/>
      <c r="L85" s="343">
        <f>L27-L74+L83</f>
        <v>80883.143999999855</v>
      </c>
      <c r="M85" s="436"/>
      <c r="N85" s="343">
        <f>N27-N41-N54-N72+N83</f>
        <v>41969.08017462639</v>
      </c>
      <c r="O85" s="436"/>
      <c r="P85" s="342"/>
      <c r="Q85" s="343">
        <f>Q27-Q74+Q83</f>
        <v>44514.244000000239</v>
      </c>
      <c r="R85" s="436"/>
      <c r="S85" s="347">
        <f>S27-S41-S54-S72+S83</f>
        <v>51526.289999999601</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Juillet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61" t="s">
        <v>77</v>
      </c>
      <c r="E91" s="1162"/>
      <c r="F91" s="1163"/>
      <c r="G91" s="1164" t="s">
        <v>145</v>
      </c>
      <c r="H91" s="1162"/>
      <c r="I91" s="1163"/>
      <c r="J91" s="1164" t="s">
        <v>79</v>
      </c>
      <c r="K91" s="1162"/>
      <c r="L91" s="1163"/>
      <c r="M91" s="1164" t="s">
        <v>80</v>
      </c>
      <c r="N91" s="1163"/>
      <c r="O91" s="1161" t="s">
        <v>81</v>
      </c>
      <c r="P91" s="1162"/>
      <c r="Q91" s="1163"/>
      <c r="R91" s="1164" t="s">
        <v>82</v>
      </c>
      <c r="S91" s="1165"/>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3">+B93&amp;C93</f>
        <v>Véhicules usagésVentes nettes</v>
      </c>
      <c r="B93" s="24" t="s">
        <v>144</v>
      </c>
      <c r="C93" s="326" t="s">
        <v>88</v>
      </c>
      <c r="D93" s="184"/>
      <c r="E93" s="184"/>
      <c r="F93" s="177">
        <f>+INDEX('Budget original'!$A$2:$AO$496,MATCH($A93,'Budget original'!$A$2:$A$496,0),MATCH(F$2,'Budget original'!$A$2:$AO$2,0))</f>
        <v>1147134.4057891713</v>
      </c>
      <c r="G93" s="183"/>
      <c r="H93" s="184"/>
      <c r="I93" s="177">
        <f>+INDEX('Budget révisé'!$A$2:$AO$496,MATCH($A93,'Budget révisé'!$A$2:$A$496,0),MATCH(I$2,'Budget révisé'!$A$2:$AO$2,0))</f>
        <v>1147134.4057891713</v>
      </c>
      <c r="J93" s="568"/>
      <c r="K93" s="184"/>
      <c r="L93" s="177">
        <f>-SUMIFS(BV_Data_An_Cour!$O:$O,BV_Data_An_Cour!$X:$X,"Oui",BV_Data_An_Cour!$U:$U,$B93)</f>
        <v>1788729.6400000001</v>
      </c>
      <c r="M93" s="395"/>
      <c r="N93" s="396"/>
      <c r="O93" s="568"/>
      <c r="P93" s="184"/>
      <c r="Q93" s="177">
        <f>-SUMIFS(BV_Data_An_Prec!$O:$O,BV_Data_An_Prec!$X:$X,"Oui",BV_Data_An_Prec!$U:$U,$B93)</f>
        <v>1144495.94</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3"/>
        <v>Véhicules usagésCertifié</v>
      </c>
      <c r="B94" s="24" t="s">
        <v>144</v>
      </c>
      <c r="C94" s="264" t="s">
        <v>146</v>
      </c>
      <c r="D94" s="179">
        <f>+INDEX('Budget original'!$A$2:$AO$496,MATCH($A94,'Budget original'!$A$2:$A$496,0),MATCH(D$2,'Budget original'!$A$2:$AO$2,0))</f>
        <v>34.428361303122216</v>
      </c>
      <c r="E94" s="179">
        <f>IF(D94=0,0,F94/D94)</f>
        <v>750</v>
      </c>
      <c r="F94" s="179">
        <f>+INDEX('Budget original'!$A$2:$AO$496,MATCH($A94,'Budget original'!$A$2:$A$496,0),MATCH(F$2,'Budget original'!$A$2:$AO$2,0))</f>
        <v>25821.270977341661</v>
      </c>
      <c r="G94" s="182">
        <f>+INDEX('Budget révisé'!$A$2:$AO$496,MATCH($A94,'Budget révisé'!$A$2:$A$496,0),MATCH(G$2,'Budget révisé'!$A$2:$AO$2,0))</f>
        <v>34.428361303122216</v>
      </c>
      <c r="H94" s="179">
        <f>IF(G94=0,0,I94/G94)</f>
        <v>750</v>
      </c>
      <c r="I94" s="179">
        <f>+INDEX('Budget révisé'!$A$2:$AO$496,MATCH($A94,'Budget révisé'!$A$2:$A$496,0),MATCH(I$2,'Budget révisé'!$A$2:$AO$2,0))</f>
        <v>25821.270977341661</v>
      </c>
      <c r="J94" s="569">
        <f>-SUMIFS(BV_Data_An_Cour!$O:$O,BV_Data_An_Cour!$U:$U,$B94,BV_Data_An_Cour!$V:$V,$C94,BV_Data_An_Cour!$W:$W,J$2)</f>
        <v>40</v>
      </c>
      <c r="K94" s="179">
        <f t="shared" ref="K94:K95" si="54">IF(J94=0,0,L94/J94)</f>
        <v>1663.4257500000017</v>
      </c>
      <c r="L94" s="281">
        <f>-SUMIFS(BV_Data_An_Cour!$O:$O,BV_Data_An_Cour!$U:$U,$B94,BV_Data_An_Cour!$V:$V,$C94,BV_Data_An_Cour!$W:$W,$L2)</f>
        <v>66537.030000000072</v>
      </c>
      <c r="M94" s="182">
        <f>J94-G94</f>
        <v>5.571638696877784</v>
      </c>
      <c r="N94" s="180">
        <f>L94-I94</f>
        <v>40715.759022658414</v>
      </c>
      <c r="O94" s="569">
        <f>-SUMIFS(BV_Data_An_Prec!$O:$O,BV_Data_An_Prec!$U:$U,$B94,BV_Data_An_Prec!$V:$V,$C94,BV_Data_An_Prec!$W:$W,O$2)</f>
        <v>36</v>
      </c>
      <c r="P94" s="179">
        <f t="shared" ref="P94:P95" si="55">IF(O94=0,0,Q94/O94)</f>
        <v>692.29277777777838</v>
      </c>
      <c r="Q94" s="180">
        <f>-SUMIFS(BV_Data_An_Prec!$O:$O,BV_Data_An_Prec!$U:$U,$B94,BV_Data_An_Prec!$V:$V,$C94,BV_Data_An_Prec!$W:$W,$L2)</f>
        <v>24922.540000000023</v>
      </c>
      <c r="R94" s="182">
        <f t="shared" ref="R94:R95" si="56">J94-O94</f>
        <v>4</v>
      </c>
      <c r="S94" s="399">
        <f t="shared" ref="S94:S95" si="57">L94-Q94</f>
        <v>41614.490000000049</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3"/>
        <v>Véhicules usagésNon Certifié</v>
      </c>
      <c r="B95" s="24" t="s">
        <v>144</v>
      </c>
      <c r="C95" s="264" t="s">
        <v>147</v>
      </c>
      <c r="D95" s="179">
        <f>+INDEX('Budget original'!$A$2:$AO$496,MATCH($A95,'Budget original'!$A$2:$A$496,0),MATCH(D$2,'Budget original'!$A$2:$AO$2,0))</f>
        <v>1.9635947511286436</v>
      </c>
      <c r="E95" s="184">
        <f t="shared" ref="E95:E104" si="58">IF(D95=0,0,F95/D95)</f>
        <v>750.00000000000011</v>
      </c>
      <c r="F95" s="179">
        <f>+INDEX('Budget original'!$A$2:$AO$496,MATCH($A95,'Budget original'!$A$2:$A$496,0),MATCH(F$2,'Budget original'!$A$2:$AO$2,0))</f>
        <v>1472.6960633464828</v>
      </c>
      <c r="G95" s="182">
        <f>+INDEX('Budget révisé'!$A$2:$AO$496,MATCH($A95,'Budget révisé'!$A$2:$A$496,0),MATCH(G$2,'Budget révisé'!$A$2:$AO$2,0))</f>
        <v>1.9635947511286436</v>
      </c>
      <c r="H95" s="179">
        <f t="shared" ref="H95:H97" si="59">IF(G95=0,0,I95/G95)</f>
        <v>750.00000000000011</v>
      </c>
      <c r="I95" s="179">
        <f>+INDEX('Budget révisé'!$A$2:$AO$496,MATCH($A95,'Budget révisé'!$A$2:$A$496,0),MATCH(I$2,'Budget révisé'!$A$2:$AO$2,0))</f>
        <v>1472.6960633464828</v>
      </c>
      <c r="J95" s="182">
        <f>-SUMIFS(BV_Data_An_Cour!$O:$O,BV_Data_An_Cour!$U:$U,$B95,BV_Data_An_Cour!$V:$V,$C95,BV_Data_An_Cour!$W:$W,J$2)</f>
        <v>1</v>
      </c>
      <c r="K95" s="179">
        <f t="shared" si="54"/>
        <v>302.70000000000073</v>
      </c>
      <c r="L95" s="554">
        <f>-SUMIFS(BV_Data_An_Cour!$O:$O,BV_Data_An_Cour!$U:$U,$B95,BV_Data_An_Cour!$V:$V,$C95,BV_Data_An_Cour!$W:$W,$L2)</f>
        <v>302.70000000000073</v>
      </c>
      <c r="M95" s="182"/>
      <c r="N95" s="180"/>
      <c r="O95" s="182">
        <f>-SUMIFS(BV_Data_An_Prec!$O:$O,BV_Data_An_Prec!$U:$U,$B95,BV_Data_An_Prec!$V:$V,$C95,BV_Data_An_Prec!$W:$W,O$2)</f>
        <v>6</v>
      </c>
      <c r="P95" s="179">
        <f t="shared" si="55"/>
        <v>661.93166666666582</v>
      </c>
      <c r="Q95" s="554">
        <f>-SUMIFS(BV_Data_An_Prec!$O:$O,BV_Data_An_Prec!$U:$U,$B95,BV_Data_An_Prec!$V:$V,$C95,BV_Data_An_Prec!$W:$W,$L2)</f>
        <v>3971.5899999999947</v>
      </c>
      <c r="R95" s="182">
        <f t="shared" si="56"/>
        <v>-5</v>
      </c>
      <c r="S95" s="399">
        <f t="shared" si="57"/>
        <v>-3668.889999999994</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3"/>
        <v>Véhicules usagésTotal Usagés</v>
      </c>
      <c r="B96" s="24" t="s">
        <v>144</v>
      </c>
      <c r="C96" s="400" t="s">
        <v>148</v>
      </c>
      <c r="D96" s="401">
        <f>+D95+D94</f>
        <v>36.391956054250862</v>
      </c>
      <c r="E96" s="179">
        <f t="shared" si="58"/>
        <v>750</v>
      </c>
      <c r="F96" s="402">
        <f t="shared" ref="F96" si="60">+F94+F95</f>
        <v>27293.967040688145</v>
      </c>
      <c r="G96" s="403">
        <f>+G95+G94</f>
        <v>36.391956054250862</v>
      </c>
      <c r="H96" s="401">
        <f t="shared" si="59"/>
        <v>750</v>
      </c>
      <c r="I96" s="402">
        <f t="shared" ref="I96" si="61">+I94+I95</f>
        <v>27293.967040688145</v>
      </c>
      <c r="J96" s="403">
        <f t="shared" ref="J96" si="62">+J94+J95</f>
        <v>41</v>
      </c>
      <c r="K96" s="401">
        <f>IF(J96&lt;=0,0,L96/J96)</f>
        <v>1630.2373170731723</v>
      </c>
      <c r="L96" s="402">
        <f>+L94+L95</f>
        <v>66839.730000000069</v>
      </c>
      <c r="M96" s="403">
        <f>J96-G96</f>
        <v>4.608043945749138</v>
      </c>
      <c r="N96" s="402">
        <f>L96-I96</f>
        <v>39545.76295931192</v>
      </c>
      <c r="O96" s="403">
        <f t="shared" ref="O96" si="63">+O94+O95</f>
        <v>42</v>
      </c>
      <c r="P96" s="401">
        <f>IF(O96&lt;=0,0,Q96/O96)</f>
        <v>687.9554761904767</v>
      </c>
      <c r="Q96" s="402">
        <f>+Q94+Q95</f>
        <v>28894.130000000019</v>
      </c>
      <c r="R96" s="403">
        <f t="shared" ref="R96:S96" si="64">R94+R95</f>
        <v>-1</v>
      </c>
      <c r="S96" s="404">
        <f t="shared" si="64"/>
        <v>37945.600000000057</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3"/>
        <v>Véhicules usagés</v>
      </c>
      <c r="B97" s="24" t="s">
        <v>144</v>
      </c>
      <c r="C97" s="264"/>
      <c r="D97" s="178"/>
      <c r="E97" s="179">
        <f t="shared" si="58"/>
        <v>0</v>
      </c>
      <c r="F97" s="312"/>
      <c r="G97" s="303"/>
      <c r="H97" s="178">
        <f t="shared" si="59"/>
        <v>0</v>
      </c>
      <c r="I97" s="312"/>
      <c r="J97" s="303"/>
      <c r="K97" s="178"/>
      <c r="L97" s="312"/>
      <c r="M97" s="362">
        <f>M96/G96</f>
        <v>0.12662259590772623</v>
      </c>
      <c r="N97" s="332">
        <f>N96/I96</f>
        <v>1.4488829308088327</v>
      </c>
      <c r="O97" s="303"/>
      <c r="P97" s="178"/>
      <c r="Q97" s="312"/>
      <c r="R97" s="362">
        <f>R96/O96</f>
        <v>-2.3809523809523808E-2</v>
      </c>
      <c r="S97" s="333">
        <f>IF(Q96=0,0,(S96/Q96))</f>
        <v>1.3132632821960735</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3"/>
        <v>Véhicules usagésUS</v>
      </c>
      <c r="B98" s="24" t="s">
        <v>144</v>
      </c>
      <c r="C98" s="264" t="s">
        <v>149</v>
      </c>
      <c r="D98" s="179"/>
      <c r="E98" s="179"/>
      <c r="F98" s="179"/>
      <c r="G98" s="179"/>
      <c r="H98" s="179"/>
      <c r="I98" s="179"/>
      <c r="J98" s="182"/>
      <c r="K98" s="179"/>
      <c r="L98" s="180"/>
      <c r="M98" s="182"/>
      <c r="N98" s="180"/>
      <c r="O98" s="182"/>
      <c r="P98" s="179"/>
      <c r="Q98" s="180"/>
      <c r="R98" s="182"/>
      <c r="S98" s="399"/>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3"/>
        <v>Véhicules usagésVentes au Gros</v>
      </c>
      <c r="B99" s="24" t="s">
        <v>144</v>
      </c>
      <c r="C99" s="264" t="s">
        <v>150</v>
      </c>
      <c r="D99" s="179">
        <f>+INDEX('Budget original'!$A$2:$AO$496,MATCH($A99,'Budget original'!$A$2:$A$496,0),MATCH(D$2,'Budget original'!$A$2:$AO$2,0))</f>
        <v>30.837394340707309</v>
      </c>
      <c r="E99" s="179">
        <f t="shared" si="58"/>
        <v>120</v>
      </c>
      <c r="F99" s="179">
        <f>+INDEX('Budget original'!$A$2:$AO$496,MATCH($A99,'Budget original'!$A$2:$A$496,0),MATCH(F$2,'Budget original'!$A$2:$AO$2,0))</f>
        <v>3700.4873208848771</v>
      </c>
      <c r="G99" s="179">
        <f>+INDEX('Budget révisé'!$A$2:$AO$496,MATCH($A99,'Budget révisé'!$A$2:$A$496,0),MATCH(G$2,'Budget révisé'!$A$2:$AO$2,0))</f>
        <v>30.837394340707309</v>
      </c>
      <c r="H99" s="179">
        <f t="shared" ref="H99:H104" si="65">IF(G99=0,0,I99/G99)</f>
        <v>120</v>
      </c>
      <c r="I99" s="179">
        <f>+INDEX('Budget révisé'!$A$2:$AO$496,MATCH($A99,'Budget révisé'!$A$2:$A$496,0),MATCH(I$2,'Budget révisé'!$A$2:$AO$2,0))</f>
        <v>3700.4873208848771</v>
      </c>
      <c r="J99" s="182">
        <f>-SUMIFS(BV_Data_An_Cour!$O:$O,BV_Data_An_Cour!$U:$U,$B99,BV_Data_An_Cour!$V:$V,$C99,BV_Data_An_Cour!$W:$W,J$2)</f>
        <v>61</v>
      </c>
      <c r="K99" s="179">
        <f t="shared" ref="K99" si="66">IF(J99=0,0,L99/J99)</f>
        <v>124.0780327868854</v>
      </c>
      <c r="L99" s="180">
        <f>-SUMIFS(BV_Data_An_Cour!$O:$O,BV_Data_An_Cour!$U:$U,$B99,BV_Data_An_Cour!$V:$V,$C99,BV_Data_An_Cour!$W:$W,L$2)</f>
        <v>7568.7600000000093</v>
      </c>
      <c r="M99" s="182">
        <f t="shared" ref="M99" si="67">J99-G99</f>
        <v>30.162605659292691</v>
      </c>
      <c r="N99" s="180">
        <f t="shared" ref="N99" si="68">L99-I99</f>
        <v>3868.2726791151322</v>
      </c>
      <c r="O99" s="182">
        <f>-SUMIFS(BV_Data_An_Prec!$O:$O,BV_Data_An_Prec!$U:$U,$B99,BV_Data_An_Prec!$V:$V,$C99,BV_Data_An_Prec!$W:$W,O$2)</f>
        <v>41</v>
      </c>
      <c r="P99" s="179">
        <f t="shared" ref="P99" si="69">IF(O99=0,0,Q99/O99)</f>
        <v>339.55487804878049</v>
      </c>
      <c r="Q99" s="180">
        <f>-SUMIFS(BV_Data_An_Prec!$O:$O,BV_Data_An_Prec!$U:$U,$B99,BV_Data_An_Prec!$V:$V,$C99,BV_Data_An_Prec!$W:$W,Q$2)</f>
        <v>13921.75</v>
      </c>
      <c r="R99" s="182">
        <f t="shared" ref="R99" si="70">J99-O99</f>
        <v>20</v>
      </c>
      <c r="S99" s="399">
        <f t="shared" ref="S99" si="71">L99-Q99</f>
        <v>-6352.9899999999907</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3"/>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3"/>
        <v>Véhicules usagésRev. Finances</v>
      </c>
      <c r="B101" s="24" t="s">
        <v>144</v>
      </c>
      <c r="C101" s="264" t="s">
        <v>97</v>
      </c>
      <c r="D101" s="179">
        <f>+INDEX('Budget original'!$A$2:$AO$496,MATCH($A101,'Budget original'!$A$2:$A$496,0),MATCH(D$2,'Budget original'!$A$2:$AO$2,0))</f>
        <v>0</v>
      </c>
      <c r="E101" s="179">
        <f t="shared" si="58"/>
        <v>0</v>
      </c>
      <c r="F101" s="180">
        <f>+INDEX('Budget original'!$A$2:$AO$496,MATCH($A101,'Budget original'!$A$2:$A$496,0),MATCH(F$2,'Budget original'!$A$2:$AO$2,0))</f>
        <v>29262.537762921016</v>
      </c>
      <c r="G101" s="182">
        <f>+INDEX('Budget révisé'!$A$2:$AO$496,MATCH($A101,'Budget révisé'!$A$2:$A$496,0),MATCH(G$2,'Budget révisé'!$A$2:$AO$2,0))</f>
        <v>0</v>
      </c>
      <c r="H101" s="179">
        <f t="shared" si="65"/>
        <v>0</v>
      </c>
      <c r="I101" s="179">
        <f>+INDEX('Budget révisé'!$A$2:$AO$496,MATCH($A101,'Budget révisé'!$A$2:$A$496,0),MATCH(I$2,'Budget révisé'!$A$2:$AO$2,0))</f>
        <v>29262.537762921016</v>
      </c>
      <c r="J101" s="182"/>
      <c r="K101" s="179">
        <f>IF(J96=0,0,L101/J96)</f>
        <v>1004.3404878048781</v>
      </c>
      <c r="L101" s="180">
        <f>-SUMIFS(BV_Data_An_Cour!$O:$O,BV_Data_An_Cour!$U:$U,$B101,BV_Data_An_Cour!$V:$V,$C101,BV_Data_An_Cour!$W:$W,$L2)</f>
        <v>41177.96</v>
      </c>
      <c r="M101" s="182"/>
      <c r="N101" s="180">
        <f t="shared" ref="N101:N104" si="72">L101-I101</f>
        <v>11915.422237078983</v>
      </c>
      <c r="O101" s="182"/>
      <c r="P101" s="179">
        <f>IF(O96=0,0,Q101/O96)</f>
        <v>531.64952380952377</v>
      </c>
      <c r="Q101" s="180">
        <f>-SUMIFS(BV_Data_An_Prec!$O:$O,BV_Data_An_Prec!$U:$U,$B101,BV_Data_An_Prec!$V:$V,$C101,BV_Data_An_Prec!$W:$W,$L2)</f>
        <v>22329.279999999999</v>
      </c>
      <c r="R101" s="182">
        <f t="shared" ref="R101:R103" si="73">O101-K101</f>
        <v>-1004.3404878048781</v>
      </c>
      <c r="S101" s="399">
        <f t="shared" ref="S101:S104" si="74">L101-Q101</f>
        <v>18848.68</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3"/>
        <v>Véhicules usagésRev. Protections</v>
      </c>
      <c r="B102" s="24" t="s">
        <v>144</v>
      </c>
      <c r="C102" s="264" t="s">
        <v>98</v>
      </c>
      <c r="D102" s="179">
        <f>+INDEX('Budget original'!$A$2:$AO$496,MATCH($A102,'Budget original'!$A$2:$A$496,0),MATCH(D$2,'Budget original'!$A$2:$AO$2,0))</f>
        <v>0</v>
      </c>
      <c r="E102" s="179">
        <f t="shared" si="58"/>
        <v>0</v>
      </c>
      <c r="F102" s="180">
        <f>+INDEX('Budget original'!$A$2:$AO$496,MATCH($A102,'Budget original'!$A$2:$A$496,0),MATCH(F$2,'Budget original'!$A$2:$AO$2,0))</f>
        <v>33164.209464643813</v>
      </c>
      <c r="G102" s="182">
        <f>+INDEX('Budget révisé'!$A$2:$AO$496,MATCH($A102,'Budget révisé'!$A$2:$A$496,0),MATCH(G$2,'Budget révisé'!$A$2:$AO$2,0))</f>
        <v>0</v>
      </c>
      <c r="H102" s="179">
        <f t="shared" si="65"/>
        <v>0</v>
      </c>
      <c r="I102" s="179">
        <f>+INDEX('Budget révisé'!$A$2:$AO$496,MATCH($A102,'Budget révisé'!$A$2:$A$496,0),MATCH(I$2,'Budget révisé'!$A$2:$AO$2,0))</f>
        <v>33164.209464643813</v>
      </c>
      <c r="J102" s="182"/>
      <c r="K102" s="179">
        <f>IF(J96=0,0,L102/J96)</f>
        <v>1434.5558536585365</v>
      </c>
      <c r="L102" s="180">
        <f>-SUMIFS(BV_Data_An_Cour!$O:$O,BV_Data_An_Cour!$U:$U,$B102,BV_Data_An_Cour!$V:$V,$C102,BV_Data_An_Cour!$W:$W,$L2)</f>
        <v>58816.79</v>
      </c>
      <c r="M102" s="182"/>
      <c r="N102" s="180">
        <f t="shared" si="72"/>
        <v>25652.580535356188</v>
      </c>
      <c r="O102" s="182"/>
      <c r="P102" s="179">
        <f>IF(O96=0,0,Q102/O96)</f>
        <v>692.11833333333334</v>
      </c>
      <c r="Q102" s="180">
        <f>-SUMIFS(BV_Data_An_Prec!$O:$O,BV_Data_An_Prec!$U:$U,$B102,BV_Data_An_Prec!$V:$V,$C102,BV_Data_An_Prec!$W:$W,$L2)</f>
        <v>29068.97</v>
      </c>
      <c r="R102" s="182">
        <f t="shared" si="73"/>
        <v>-1434.5558536585365</v>
      </c>
      <c r="S102" s="399">
        <f t="shared" si="74"/>
        <v>29747.82</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3"/>
        <v>Véhicules usagésRev. Autres</v>
      </c>
      <c r="B103" s="24" t="s">
        <v>144</v>
      </c>
      <c r="C103" s="264" t="s">
        <v>99</v>
      </c>
      <c r="D103" s="179">
        <f>+INDEX('Budget original'!$A$2:$AO$496,MATCH($A103,'Budget original'!$A$2:$A$496,0),MATCH(D$2,'Budget original'!$A$2:$AO$2,0))</f>
        <v>0</v>
      </c>
      <c r="E103" s="184">
        <f t="shared" si="58"/>
        <v>0</v>
      </c>
      <c r="F103" s="180">
        <f>+INDEX('Budget original'!$A$2:$AO$496,MATCH($A103,'Budget original'!$A$2:$A$496,0),MATCH(F$2,'Budget original'!$A$2:$AO$2,0))</f>
        <v>0</v>
      </c>
      <c r="G103" s="182">
        <f>+INDEX('Budget révisé'!$A$2:$AO$496,MATCH($A103,'Budget révisé'!$A$2:$A$496,0),MATCH(G$2,'Budget révisé'!$A$2:$AO$2,0))</f>
        <v>0</v>
      </c>
      <c r="H103" s="407">
        <f t="shared" si="65"/>
        <v>0</v>
      </c>
      <c r="I103" s="179">
        <f>+INDEX('Budget révisé'!$A$2:$AO$496,MATCH($A103,'Budget révisé'!$A$2:$A$496,0),MATCH(I$2,'Budget révisé'!$A$2:$AO$2,0))</f>
        <v>0</v>
      </c>
      <c r="J103" s="182"/>
      <c r="K103" s="407">
        <f>IF(J96=0,0,L103/J96)</f>
        <v>90.78</v>
      </c>
      <c r="L103" s="180">
        <f>-SUMIFS(BV_Data_An_Cour!$O:$O,BV_Data_An_Cour!$U:$U,$B103,BV_Data_An_Cour!$V:$V,$C103,BV_Data_An_Cour!$W:$W,$L$2)</f>
        <v>3721.98</v>
      </c>
      <c r="M103" s="406"/>
      <c r="N103" s="180">
        <f t="shared" si="72"/>
        <v>3721.98</v>
      </c>
      <c r="O103" s="182"/>
      <c r="P103" s="407">
        <f>IF(O96=0,0,Q103/O96)</f>
        <v>87.492142857142852</v>
      </c>
      <c r="Q103" s="180">
        <f>-SUMIFS(BV_Data_An_Prec!$O:$O,BV_Data_An_Prec!$U:$U,$B103,BV_Data_An_Prec!$V:$V,$C103,BV_Data_An_Prec!$W:$W,$L$2)</f>
        <v>3674.67</v>
      </c>
      <c r="R103" s="182">
        <f t="shared" si="73"/>
        <v>-90.78</v>
      </c>
      <c r="S103" s="399">
        <f t="shared" si="74"/>
        <v>47.309999999999945</v>
      </c>
      <c r="T103" s="222"/>
      <c r="U103" s="222" t="s">
        <v>2941</v>
      </c>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3"/>
        <v>Véhicules usagésTotal F&amp;I</v>
      </c>
      <c r="B104" s="24" t="s">
        <v>144</v>
      </c>
      <c r="C104" s="400" t="s">
        <v>100</v>
      </c>
      <c r="D104" s="401">
        <f>D96</f>
        <v>36.391956054250862</v>
      </c>
      <c r="E104" s="179">
        <f t="shared" si="58"/>
        <v>1715.3996101364523</v>
      </c>
      <c r="F104" s="402">
        <f>F101+F102+F103</f>
        <v>62426.747227564832</v>
      </c>
      <c r="G104" s="403">
        <f>G96</f>
        <v>36.391956054250862</v>
      </c>
      <c r="H104" s="401">
        <f t="shared" si="65"/>
        <v>1715.3996101364523</v>
      </c>
      <c r="I104" s="402">
        <f>I101+I102+I103</f>
        <v>62426.747227564832</v>
      </c>
      <c r="J104" s="403">
        <f>J96</f>
        <v>41</v>
      </c>
      <c r="K104" s="401">
        <f>IF(J104&lt;=0,0,L104/J104)</f>
        <v>2529.6763414634147</v>
      </c>
      <c r="L104" s="402">
        <f>L101+L102+L103</f>
        <v>103716.73</v>
      </c>
      <c r="M104" s="182">
        <f>J104-G104</f>
        <v>4.608043945749138</v>
      </c>
      <c r="N104" s="402">
        <f t="shared" si="72"/>
        <v>41289.982772435163</v>
      </c>
      <c r="O104" s="403">
        <f>O96</f>
        <v>42</v>
      </c>
      <c r="P104" s="401">
        <f>IF(O104&lt;=0,0,Q104/O104)</f>
        <v>1311.26</v>
      </c>
      <c r="Q104" s="402">
        <f>Q101+Q102+Q103</f>
        <v>55072.92</v>
      </c>
      <c r="R104" s="411"/>
      <c r="S104" s="404">
        <f t="shared" si="74"/>
        <v>48643.81</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3"/>
        <v>Véhicules usagés</v>
      </c>
      <c r="B105" s="24" t="s">
        <v>144</v>
      </c>
      <c r="C105" s="264"/>
      <c r="D105" s="178"/>
      <c r="E105" s="178"/>
      <c r="F105" s="304"/>
      <c r="G105" s="303"/>
      <c r="H105" s="349"/>
      <c r="I105" s="304"/>
      <c r="J105" s="303"/>
      <c r="K105" s="178"/>
      <c r="L105" s="304"/>
      <c r="M105" s="362"/>
      <c r="N105" s="332">
        <f>N104/I104</f>
        <v>0.66141493199894563</v>
      </c>
      <c r="O105" s="303"/>
      <c r="P105" s="178"/>
      <c r="Q105" s="304"/>
      <c r="R105" s="325"/>
      <c r="S105" s="333">
        <f>IF(Q104=0,0,(S104/Q104))</f>
        <v>0.8832618644517124</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3"/>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tr">
        <f t="shared" si="53"/>
        <v>Véhicules usagésTotal Dépt. Usagés</v>
      </c>
      <c r="B107" s="24" t="s">
        <v>144</v>
      </c>
      <c r="C107" s="269" t="s">
        <v>151</v>
      </c>
      <c r="D107" s="26">
        <f>D96+D99</f>
        <v>67.229350394958175</v>
      </c>
      <c r="E107" s="30">
        <f>IF(D107&lt;=0,0,F107/D107)</f>
        <v>1389.5895325524955</v>
      </c>
      <c r="F107" s="28">
        <f>F96+F104+F99</f>
        <v>93421.201589137854</v>
      </c>
      <c r="G107" s="29">
        <f>G96+G99</f>
        <v>67.229350394958175</v>
      </c>
      <c r="H107" s="30">
        <f>IF(G107&lt;=0,0,I107/G107)</f>
        <v>1389.5895325524955</v>
      </c>
      <c r="I107" s="28">
        <f>I96+I104+I99</f>
        <v>93421.201589137854</v>
      </c>
      <c r="J107" s="29">
        <f>J96+J99</f>
        <v>102</v>
      </c>
      <c r="K107" s="30">
        <f>IF(J107&lt;=0,0,L107/J107)</f>
        <v>1746.3256862745106</v>
      </c>
      <c r="L107" s="28">
        <f>L96+L104+L99</f>
        <v>178125.22000000009</v>
      </c>
      <c r="M107" s="29">
        <f>J107-G107</f>
        <v>34.770649605041825</v>
      </c>
      <c r="N107" s="28">
        <f>L107-I107</f>
        <v>84704.018410862234</v>
      </c>
      <c r="O107" s="29">
        <f>O96+O99</f>
        <v>83</v>
      </c>
      <c r="P107" s="30">
        <f>IF(O107&lt;=0,0,Q107/O107)</f>
        <v>1179.3831325301207</v>
      </c>
      <c r="Q107" s="28">
        <f>Q96+Q104+Q99</f>
        <v>97888.800000000017</v>
      </c>
      <c r="R107" s="29">
        <f>J107-O107</f>
        <v>19</v>
      </c>
      <c r="S107" s="363">
        <f>L107-Q107</f>
        <v>80236.420000000071</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3"/>
        <v>Véhicules usagés</v>
      </c>
      <c r="B108" s="24" t="s">
        <v>144</v>
      </c>
      <c r="C108" s="364"/>
      <c r="D108" s="365"/>
      <c r="E108" s="365"/>
      <c r="F108" s="32"/>
      <c r="G108" s="31"/>
      <c r="H108" s="365"/>
      <c r="I108" s="32"/>
      <c r="J108" s="31"/>
      <c r="K108" s="365"/>
      <c r="L108" s="32"/>
      <c r="M108" s="33">
        <f>M107/G107</f>
        <v>0.51719449021553288</v>
      </c>
      <c r="N108" s="34">
        <f>N107/I107</f>
        <v>0.90668945560544822</v>
      </c>
      <c r="O108" s="31"/>
      <c r="P108" s="365"/>
      <c r="Q108" s="32"/>
      <c r="R108" s="33">
        <f>O107/R107</f>
        <v>4.3684210526315788</v>
      </c>
      <c r="S108" s="412">
        <f>IF(Q107=0,0,(S107/Q107))</f>
        <v>0.8196690530479489</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3"/>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3"/>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3"/>
        <v>Véhicules usagésComm. vendeurs</v>
      </c>
      <c r="B111" s="24" t="s">
        <v>144</v>
      </c>
      <c r="C111" s="264" t="s">
        <v>103</v>
      </c>
      <c r="D111" s="301"/>
      <c r="E111" s="197">
        <f t="shared" ref="E111:E116" si="75">F111/D$96</f>
        <v>419.25084424424927</v>
      </c>
      <c r="F111" s="179">
        <f>+INDEX('Budget original'!$A$2:$AO$496,MATCH($A111,'Budget original'!$A$2:$A$496,0),MATCH(F$2,'Budget original'!$A$2:$AO$2,0))</f>
        <v>15257.358299444291</v>
      </c>
      <c r="G111" s="975">
        <f>I111/I96</f>
        <v>0.55900112565899907</v>
      </c>
      <c r="H111" s="197">
        <f t="shared" ref="H111:H116" si="76">I111/G$96</f>
        <v>419.25084424424927</v>
      </c>
      <c r="I111" s="179">
        <f>+INDEX('Budget révisé'!$A$2:$AO$496,MATCH($A111,'Budget révisé'!$A$2:$A$496,0),MATCH(I$2,'Budget révisé'!$A$2:$AO$2,0))</f>
        <v>15257.358299444291</v>
      </c>
      <c r="J111" s="975">
        <f>L111/L96</f>
        <v>0.39248976619145487</v>
      </c>
      <c r="K111" s="197">
        <f t="shared" ref="K111:K116" si="77">IF($J$96=0,0,L111/(J$94+J$95))</f>
        <v>639.85146341463417</v>
      </c>
      <c r="L111" s="180">
        <f>SUMIFS(BV_Data_An_Cour!$O:$O,BV_Data_An_Cour!$U:$U,$B111,BV_Data_An_Cour!$V:$V,$C111,BV_Data_An_Cour!$W:$W,$L$2)</f>
        <v>26233.91</v>
      </c>
      <c r="M111" s="303"/>
      <c r="N111" s="304">
        <f t="shared" ref="N111:N121" si="78">L111-I111</f>
        <v>10976.551700555709</v>
      </c>
      <c r="O111" s="303"/>
      <c r="P111" s="197">
        <f t="shared" ref="P111:P116" si="79">IF($J$96=0,0,Q111/(O$94+O$95))</f>
        <v>289.16619047619048</v>
      </c>
      <c r="Q111" s="180">
        <f>SUMIFS(BV_Data_An_Prec!$O:$O,BV_Data_An_Prec!$U:$U,$B111,BV_Data_An_Prec!$V:$V,$C111,BV_Data_An_Prec!$W:$W,$L$2)</f>
        <v>12144.98</v>
      </c>
      <c r="R111" s="303"/>
      <c r="S111" s="199">
        <f t="shared" ref="S111:S121" si="80">L111-Q111</f>
        <v>14088.93</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3"/>
        <v>Véhicules usagésComm. F&amp;I</v>
      </c>
      <c r="B112" s="24" t="s">
        <v>144</v>
      </c>
      <c r="C112" s="326" t="s">
        <v>104</v>
      </c>
      <c r="D112" s="307"/>
      <c r="E112" s="413">
        <f t="shared" si="75"/>
        <v>514.61988304093575</v>
      </c>
      <c r="F112" s="177">
        <f>+INDEX('Budget original'!$A$2:$AO$496,MATCH($A112,'Budget original'!$A$2:$A$496,0),MATCH(F$2,'Budget original'!$A$2:$AO$2,0))</f>
        <v>18728.02416826945</v>
      </c>
      <c r="G112" s="976">
        <f>I112/I104</f>
        <v>0.3</v>
      </c>
      <c r="H112" s="413">
        <f t="shared" si="76"/>
        <v>514.61988304093575</v>
      </c>
      <c r="I112" s="177">
        <f>+INDEX('Budget révisé'!$A$2:$AO$496,MATCH($A112,'Budget révisé'!$A$2:$A$496,0),MATCH(I$2,'Budget révisé'!$A$2:$AO$2,0))</f>
        <v>18728.02416826945</v>
      </c>
      <c r="J112" s="976">
        <f>L112/L104</f>
        <v>0.30623545497433252</v>
      </c>
      <c r="K112" s="413">
        <f t="shared" si="77"/>
        <v>774.67658536585373</v>
      </c>
      <c r="L112" s="281">
        <f>SUMIFS(BV_Data_An_Cour!$O:$O,BV_Data_An_Cour!$U:$U,$B112,BV_Data_An_Cour!$V:$V,$C112,BV_Data_An_Cour!$W:$W,$L$2)</f>
        <v>31761.74</v>
      </c>
      <c r="M112" s="310"/>
      <c r="N112" s="311">
        <f t="shared" si="78"/>
        <v>13033.715831730551</v>
      </c>
      <c r="O112" s="310"/>
      <c r="P112" s="413">
        <f t="shared" si="79"/>
        <v>442.24095238095236</v>
      </c>
      <c r="Q112" s="180">
        <f>SUMIFS(BV_Data_An_Prec!$O:$O,BV_Data_An_Prec!$U:$U,$B112,BV_Data_An_Prec!$V:$V,$C112,BV_Data_An_Prec!$W:$W,$L$2)</f>
        <v>18574.12</v>
      </c>
      <c r="R112" s="310"/>
      <c r="S112" s="202">
        <f t="shared" si="80"/>
        <v>13187.620000000003</v>
      </c>
      <c r="T112" s="222"/>
      <c r="U112" s="222"/>
      <c r="V112" s="222"/>
      <c r="W112" s="222">
        <f>L104*0.3</f>
        <v>31115.018999999997</v>
      </c>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3"/>
        <v>Véhicules usagésFrais de livraison</v>
      </c>
      <c r="B113" s="24" t="s">
        <v>144</v>
      </c>
      <c r="C113" s="264" t="s">
        <v>105</v>
      </c>
      <c r="D113" s="301"/>
      <c r="E113" s="197">
        <f t="shared" si="75"/>
        <v>54</v>
      </c>
      <c r="F113" s="179">
        <f>+INDEX('Budget original'!$A$2:$AO$496,MATCH($A113,'Budget original'!$A$2:$A$496,0),MATCH(F$2,'Budget original'!$A$2:$AO$2,0))</f>
        <v>1965.1656269295465</v>
      </c>
      <c r="G113" s="302"/>
      <c r="H113" s="197">
        <f t="shared" si="76"/>
        <v>54</v>
      </c>
      <c r="I113" s="179">
        <f>+INDEX('Budget révisé'!$A$2:$AO$496,MATCH($A113,'Budget révisé'!$A$2:$A$496,0),MATCH(I$2,'Budget révisé'!$A$2:$AO$2,0))</f>
        <v>1965.1656269295465</v>
      </c>
      <c r="J113" s="303"/>
      <c r="K113" s="197">
        <f t="shared" si="77"/>
        <v>60.166097560975608</v>
      </c>
      <c r="L113" s="181">
        <f>SUMIFS(BV_Data_An_Cour!$O:$O,BV_Data_An_Cour!$U:$U,$B113,BV_Data_An_Cour!$V:$V,$C113,BV_Data_An_Cour!$W:$W,$L$2)</f>
        <v>2466.81</v>
      </c>
      <c r="M113" s="303"/>
      <c r="N113" s="304">
        <f t="shared" si="78"/>
        <v>501.64437307045341</v>
      </c>
      <c r="O113" s="303"/>
      <c r="P113" s="197">
        <f t="shared" si="79"/>
        <v>67.706904761904767</v>
      </c>
      <c r="Q113" s="181">
        <f>SUMIFS(BV_Data_An_Prec!$O:$O,BV_Data_An_Prec!$U:$U,$B113,BV_Data_An_Prec!$V:$V,$C113,BV_Data_An_Prec!$W:$W,$L$2)</f>
        <v>2843.69</v>
      </c>
      <c r="R113" s="303"/>
      <c r="S113" s="199">
        <f t="shared" si="80"/>
        <v>-376.88000000000011</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3"/>
        <v>Véhicules usagésService gratuit 1</v>
      </c>
      <c r="B114" s="24" t="s">
        <v>144</v>
      </c>
      <c r="C114" s="264" t="s">
        <v>106</v>
      </c>
      <c r="D114" s="301"/>
      <c r="E114" s="197">
        <f t="shared" si="75"/>
        <v>105</v>
      </c>
      <c r="F114" s="179">
        <f>+INDEX('Budget original'!$A$2:$AO$496,MATCH($A114,'Budget original'!$A$2:$A$496,0),MATCH(F$2,'Budget original'!$A$2:$AO$2,0))</f>
        <v>3821.1553856963405</v>
      </c>
      <c r="G114" s="302"/>
      <c r="H114" s="197">
        <f t="shared" si="76"/>
        <v>105</v>
      </c>
      <c r="I114" s="179">
        <f>+INDEX('Budget révisé'!$A$2:$AO$496,MATCH($A114,'Budget révisé'!$A$2:$A$496,0),MATCH(I$2,'Budget révisé'!$A$2:$AO$2,0))</f>
        <v>3821.1553856963405</v>
      </c>
      <c r="J114" s="303"/>
      <c r="K114" s="197">
        <f t="shared" si="77"/>
        <v>91.414390243902432</v>
      </c>
      <c r="L114" s="180">
        <f>SUMIFS(BV_Data_An_Cour!$O:$O,BV_Data_An_Cour!$U:$U,$B114,BV_Data_An_Cour!$V:$V,$C114,BV_Data_An_Cour!$W:$W,$L$2)</f>
        <v>3747.99</v>
      </c>
      <c r="M114" s="303"/>
      <c r="N114" s="304">
        <f t="shared" si="78"/>
        <v>-73.165385696340763</v>
      </c>
      <c r="O114" s="303"/>
      <c r="P114" s="197">
        <f t="shared" si="79"/>
        <v>0</v>
      </c>
      <c r="Q114" s="180">
        <f>SUMIFS(BV_Data_An_Prec!$O:$O,BV_Data_An_Prec!$U:$U,$B114,BV_Data_An_Prec!$V:$V,$C114,BV_Data_An_Prec!$W:$W,$L$2)</f>
        <v>0</v>
      </c>
      <c r="R114" s="303"/>
      <c r="S114" s="199">
        <f t="shared" si="80"/>
        <v>3747.99</v>
      </c>
      <c r="T114" s="222"/>
      <c r="U114" s="222"/>
      <c r="V114" s="222"/>
      <c r="W114" s="978">
        <f>L112-W112</f>
        <v>646.72100000000501</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3"/>
        <v>Véhicules usagésEntretien stock</v>
      </c>
      <c r="B115" s="24" t="s">
        <v>144</v>
      </c>
      <c r="C115" s="326" t="s">
        <v>107</v>
      </c>
      <c r="D115" s="307"/>
      <c r="E115" s="413">
        <f t="shared" si="75"/>
        <v>61</v>
      </c>
      <c r="F115" s="177">
        <f>+INDEX('Budget original'!$A$2:$AO$496,MATCH($A115,'Budget original'!$A$2:$A$496,0),MATCH(F$2,'Budget original'!$A$2:$AO$2,0))</f>
        <v>2219.9093193093026</v>
      </c>
      <c r="G115" s="309"/>
      <c r="H115" s="413">
        <f t="shared" si="76"/>
        <v>61</v>
      </c>
      <c r="I115" s="177">
        <f>+INDEX('Budget révisé'!$A$2:$AO$496,MATCH($A115,'Budget révisé'!$A$2:$A$496,0),MATCH(I$2,'Budget révisé'!$A$2:$AO$2,0))</f>
        <v>2219.9093193093026</v>
      </c>
      <c r="J115" s="310"/>
      <c r="K115" s="413">
        <f t="shared" si="77"/>
        <v>71.350975609756091</v>
      </c>
      <c r="L115" s="405">
        <f>SUMIFS(BV_Data_An_Cour!$O:$O,BV_Data_An_Cour!$U:$U,$B115,BV_Data_An_Cour!$V:$V,$C115,BV_Data_An_Cour!$W:$W,$L$2)</f>
        <v>2925.39</v>
      </c>
      <c r="M115" s="310"/>
      <c r="N115" s="311">
        <f t="shared" si="78"/>
        <v>705.48068069069723</v>
      </c>
      <c r="O115" s="310"/>
      <c r="P115" s="413">
        <f t="shared" si="79"/>
        <v>69.232142857142861</v>
      </c>
      <c r="Q115" s="405">
        <f>SUMIFS(BV_Data_An_Prec!$O:$O,BV_Data_An_Prec!$U:$U,$B115,BV_Data_An_Prec!$V:$V,$C115,BV_Data_An_Prec!$W:$W,$L$2)</f>
        <v>2907.75</v>
      </c>
      <c r="R115" s="310"/>
      <c r="S115" s="202">
        <f t="shared" si="80"/>
        <v>17.639999999999873</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tr">
        <f t="shared" si="53"/>
        <v>Véhicules usagésPublicité 1</v>
      </c>
      <c r="B116" s="24" t="s">
        <v>144</v>
      </c>
      <c r="C116" s="264" t="s">
        <v>108</v>
      </c>
      <c r="D116" s="301"/>
      <c r="E116" s="197">
        <f t="shared" si="75"/>
        <v>27.410526315789454</v>
      </c>
      <c r="F116" s="179">
        <f>+INDEX('Budget original'!$A$2:$AO$496,MATCH($A116,'Budget original'!$A$2:$A$496,0),MATCH(F$2,'Budget original'!$A$2:$AO$2,0))</f>
        <v>997.52266910809658</v>
      </c>
      <c r="G116" s="302"/>
      <c r="H116" s="197">
        <f t="shared" si="76"/>
        <v>27.410526315789454</v>
      </c>
      <c r="I116" s="179">
        <f>+INDEX('Budget révisé'!$A$2:$AO$496,MATCH($A116,'Budget révisé'!$A$2:$A$496,0),MATCH(I$2,'Budget révisé'!$A$2:$AO$2,0))</f>
        <v>997.52266910809658</v>
      </c>
      <c r="J116" s="303"/>
      <c r="K116" s="197">
        <f t="shared" si="77"/>
        <v>24.071219512195125</v>
      </c>
      <c r="L116" s="180">
        <f>SUMIFS(BV_Data_An_Cour!$O:$O,BV_Data_An_Cour!$U:$U,$B116,BV_Data_An_Cour!$V:$V,$C116,BV_Data_An_Cour!$W:$W,$L$2)</f>
        <v>986.92000000000007</v>
      </c>
      <c r="M116" s="303"/>
      <c r="N116" s="304">
        <f t="shared" si="78"/>
        <v>-10.602669108096507</v>
      </c>
      <c r="O116" s="303"/>
      <c r="P116" s="197">
        <f t="shared" si="79"/>
        <v>108.33333333333333</v>
      </c>
      <c r="Q116" s="180">
        <f>SUMIFS(BV_Data_An_Prec!$O:$O,BV_Data_An_Prec!$U:$U,$B116,BV_Data_An_Prec!$V:$V,$C116,BV_Data_An_Prec!$W:$W,$L$2)</f>
        <v>4550</v>
      </c>
      <c r="R116" s="303"/>
      <c r="S116" s="199">
        <f t="shared" si="80"/>
        <v>-3563.08</v>
      </c>
      <c r="T116" s="222"/>
      <c r="U116" s="222"/>
      <c r="V116" s="222"/>
      <c r="W116" s="514" t="s">
        <v>2915</v>
      </c>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tr">
        <f t="shared" ref="A117:A120" si="81">+B117&amp;C117</f>
        <v>Véhicules usagésIntérêt de gros</v>
      </c>
      <c r="B117" s="24" t="s">
        <v>144</v>
      </c>
      <c r="C117" s="264" t="s">
        <v>109</v>
      </c>
      <c r="D117" s="301"/>
      <c r="E117" s="197">
        <f t="shared" ref="E117:E119" si="82">F117/D$96</f>
        <v>37.592671687670652</v>
      </c>
      <c r="F117" s="179">
        <f>+INDEX('Budget original'!$A$2:$AO$496,MATCH($A117,'Budget original'!$A$2:$A$496,0),MATCH(F$2,'Budget original'!$A$2:$AO$2,0))</f>
        <v>1368.070856019591</v>
      </c>
      <c r="G117" s="302"/>
      <c r="H117" s="197">
        <f t="shared" ref="H117:H119" si="83">I117/G$96</f>
        <v>37.592671687670652</v>
      </c>
      <c r="I117" s="179">
        <f>+INDEX('Budget révisé'!$A$2:$AO$496,MATCH($A117,'Budget révisé'!$A$2:$A$496,0),MATCH(I$2,'Budget révisé'!$A$2:$AO$2,0))</f>
        <v>1368.070856019591</v>
      </c>
      <c r="J117" s="303"/>
      <c r="K117" s="197">
        <f t="shared" ref="K117:K119" si="84">IF($J$96=0,0,L117/(J$94+J$95))</f>
        <v>13.519268292682925</v>
      </c>
      <c r="L117" s="180">
        <f>SUMIFS(BV_Data_An_Cour!$O:$O,BV_Data_An_Cour!$U:$U,$B117,BV_Data_An_Cour!$V:$V,$C117,BV_Data_An_Cour!$W:$W,$L$2)</f>
        <v>554.29</v>
      </c>
      <c r="M117" s="303"/>
      <c r="N117" s="304">
        <f t="shared" ref="N117:N119" si="85">L117-I117</f>
        <v>-813.78085601959106</v>
      </c>
      <c r="O117" s="303"/>
      <c r="P117" s="197">
        <f t="shared" ref="P117:P119" si="86">IF($J$96=0,0,Q117/(O$94+O$95))</f>
        <v>1.9014285714285715</v>
      </c>
      <c r="Q117" s="180">
        <f>SUMIFS(BV_Data_An_Prec!$O:$O,BV_Data_An_Prec!$U:$U,$B117,BV_Data_An_Prec!$V:$V,$C117,BV_Data_An_Prec!$W:$W,$L$2)</f>
        <v>79.86</v>
      </c>
      <c r="R117" s="303"/>
      <c r="S117" s="199">
        <f t="shared" ref="S117:S119" si="87">L117-Q117</f>
        <v>474.42999999999995</v>
      </c>
      <c r="T117" s="222"/>
      <c r="U117" s="222"/>
      <c r="V117" s="222"/>
      <c r="W117" s="978">
        <f>W114+W35</f>
        <v>1002.7940000000053</v>
      </c>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tr">
        <f t="shared" si="81"/>
        <v>Véhicules usagés[...]</v>
      </c>
      <c r="B118" s="24" t="s">
        <v>144</v>
      </c>
      <c r="C118" s="264" t="s">
        <v>42</v>
      </c>
      <c r="D118" s="301"/>
      <c r="E118" s="197">
        <f t="shared" si="82"/>
        <v>0</v>
      </c>
      <c r="F118" s="179">
        <f>+INDEX('Budget original'!$A$2:$AO$496,MATCH($A118,'Budget original'!$A$2:$A$496,0),MATCH(F$2,'Budget original'!$A$2:$AO$2,0))</f>
        <v>0</v>
      </c>
      <c r="G118" s="302"/>
      <c r="H118" s="197">
        <f t="shared" si="83"/>
        <v>0</v>
      </c>
      <c r="I118" s="179">
        <f>+INDEX('Budget révisé'!$A$2:$AO$496,MATCH($A118,'Budget révisé'!$A$2:$A$496,0),MATCH(I$2,'Budget révisé'!$A$2:$AO$2,0))</f>
        <v>0</v>
      </c>
      <c r="J118" s="303"/>
      <c r="K118" s="197">
        <f t="shared" si="84"/>
        <v>0</v>
      </c>
      <c r="L118" s="180">
        <f>SUMIFS(BV_Data_An_Cour!$O:$O,BV_Data_An_Cour!$U:$U,$B118,BV_Data_An_Cour!$V:$V,$C118,BV_Data_An_Cour!$W:$W,$L$2)</f>
        <v>0</v>
      </c>
      <c r="M118" s="303"/>
      <c r="N118" s="304">
        <f t="shared" si="85"/>
        <v>0</v>
      </c>
      <c r="O118" s="303"/>
      <c r="P118" s="197">
        <f t="shared" si="86"/>
        <v>0</v>
      </c>
      <c r="Q118" s="180">
        <f>SUMIFS(BV_Data_An_Prec!$O:$O,BV_Data_An_Prec!$U:$U,$B118,BV_Data_An_Prec!$V:$V,$C118,BV_Data_An_Prec!$W:$W,$L$2)</f>
        <v>0</v>
      </c>
      <c r="R118" s="303"/>
      <c r="S118" s="199">
        <f t="shared" si="87"/>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tr">
        <f t="shared" si="81"/>
        <v>Véhicules usagés[...]</v>
      </c>
      <c r="B119" s="24" t="s">
        <v>144</v>
      </c>
      <c r="C119" s="264" t="s">
        <v>42</v>
      </c>
      <c r="D119" s="301"/>
      <c r="E119" s="197">
        <f t="shared" si="82"/>
        <v>0</v>
      </c>
      <c r="F119" s="179">
        <f>+INDEX('Budget original'!$A$2:$AO$496,MATCH($A119,'Budget original'!$A$2:$A$496,0),MATCH(F$2,'Budget original'!$A$2:$AO$2,0))</f>
        <v>0</v>
      </c>
      <c r="G119" s="302"/>
      <c r="H119" s="197">
        <f t="shared" si="83"/>
        <v>0</v>
      </c>
      <c r="I119" s="179">
        <f>+INDEX('Budget révisé'!$A$2:$AO$496,MATCH($A119,'Budget révisé'!$A$2:$A$496,0),MATCH(I$2,'Budget révisé'!$A$2:$AO$2,0))</f>
        <v>0</v>
      </c>
      <c r="J119" s="303"/>
      <c r="K119" s="197">
        <f t="shared" si="84"/>
        <v>0</v>
      </c>
      <c r="L119" s="180">
        <f>SUMIFS(BV_Data_An_Cour!$O:$O,BV_Data_An_Cour!$U:$U,$B119,BV_Data_An_Cour!$V:$V,$C119,BV_Data_An_Cour!$W:$W,$L$2)</f>
        <v>0</v>
      </c>
      <c r="M119" s="303"/>
      <c r="N119" s="304">
        <f t="shared" si="85"/>
        <v>0</v>
      </c>
      <c r="O119" s="303"/>
      <c r="P119" s="197">
        <f t="shared" si="86"/>
        <v>0</v>
      </c>
      <c r="Q119" s="180">
        <f>SUMIFS(BV_Data_An_Prec!$O:$O,BV_Data_An_Prec!$U:$U,$B119,BV_Data_An_Prec!$V:$V,$C119,BV_Data_An_Prec!$W:$W,$L$2)</f>
        <v>0</v>
      </c>
      <c r="R119" s="303"/>
      <c r="S119" s="199">
        <f t="shared" si="87"/>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1"/>
        <v>Véhicules usagés[...]</v>
      </c>
      <c r="B120" s="24" t="s">
        <v>144</v>
      </c>
      <c r="C120" s="264" t="s">
        <v>42</v>
      </c>
      <c r="D120" s="301"/>
      <c r="E120" s="197">
        <f>F120/D$96</f>
        <v>0</v>
      </c>
      <c r="F120" s="179">
        <f>+INDEX('Budget original'!$A$2:$AO$496,MATCH($A120,'Budget original'!$A$2:$A$496,0),MATCH(F$2,'Budget original'!$A$2:$AO$2,0))</f>
        <v>0</v>
      </c>
      <c r="G120" s="302"/>
      <c r="H120" s="197">
        <f>I120/G$96</f>
        <v>0</v>
      </c>
      <c r="I120" s="179">
        <f>+INDEX('Budget révisé'!$A$2:$AO$496,MATCH($A120,'Budget révisé'!$A$2:$A$496,0),MATCH(I$2,'Budget révisé'!$A$2:$AO$2,0))</f>
        <v>0</v>
      </c>
      <c r="J120" s="303"/>
      <c r="K120" s="197">
        <f>IF($J$96=0,0,L120/(J$94+J$95))</f>
        <v>0</v>
      </c>
      <c r="L120" s="180">
        <f>SUMIFS(BV_Data_An_Cour!$O:$O,BV_Data_An_Cour!$U:$U,$B120,BV_Data_An_Cour!$V:$V,$C120,BV_Data_An_Cour!$W:$W,$L$2)</f>
        <v>0</v>
      </c>
      <c r="M120" s="303"/>
      <c r="N120" s="304">
        <f t="shared" si="78"/>
        <v>0</v>
      </c>
      <c r="O120" s="303"/>
      <c r="P120" s="197">
        <f>IF($J$96=0,0,Q120/(O$94+O$95))</f>
        <v>0</v>
      </c>
      <c r="Q120" s="180">
        <f>SUMIFS(BV_Data_An_Prec!$O:$O,BV_Data_An_Prec!$U:$U,$B120,BV_Data_An_Prec!$V:$V,$C120,BV_Data_An_Prec!$W:$W,$L$2)</f>
        <v>0</v>
      </c>
      <c r="R120" s="303"/>
      <c r="S120" s="199">
        <f t="shared" si="80"/>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3"/>
        <v>Véhicules usagésTOTAL VARIABLES</v>
      </c>
      <c r="B121" s="24" t="s">
        <v>144</v>
      </c>
      <c r="C121" s="298" t="s">
        <v>110</v>
      </c>
      <c r="D121" s="39" t="s">
        <v>111</v>
      </c>
      <c r="E121" s="40">
        <f>F121/F$107</f>
        <v>0.47480877541971234</v>
      </c>
      <c r="F121" s="41">
        <f>SUM(F111:F120)</f>
        <v>44357.206324776627</v>
      </c>
      <c r="G121" s="42" t="s">
        <v>111</v>
      </c>
      <c r="H121" s="40">
        <f>I121/I$107</f>
        <v>0.47480877541971234</v>
      </c>
      <c r="I121" s="41">
        <f>SUM(I111:I120)</f>
        <v>44357.206324776627</v>
      </c>
      <c r="J121" s="42" t="s">
        <v>111</v>
      </c>
      <c r="K121" s="40">
        <f>L121/L$107</f>
        <v>0.38555489222693989</v>
      </c>
      <c r="L121" s="41">
        <f>SUM(L111:L120)</f>
        <v>68677.049999999988</v>
      </c>
      <c r="M121" s="44"/>
      <c r="N121" s="41">
        <f t="shared" si="78"/>
        <v>24319.843675223361</v>
      </c>
      <c r="O121" s="42" t="s">
        <v>111</v>
      </c>
      <c r="P121" s="40">
        <f>Q121/Q$107</f>
        <v>0.41986825867719285</v>
      </c>
      <c r="Q121" s="41">
        <f>SUM(Q111:Q120)</f>
        <v>41100.400000000001</v>
      </c>
      <c r="R121" s="44"/>
      <c r="S121" s="316">
        <f t="shared" si="80"/>
        <v>27576.649999999987</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tr">
        <f t="shared" si="53"/>
        <v>Véhicules usagésSalaires cadres</v>
      </c>
      <c r="B122" s="24" t="s">
        <v>144</v>
      </c>
      <c r="C122" s="305" t="s">
        <v>112</v>
      </c>
      <c r="D122" s="178"/>
      <c r="E122" s="178"/>
      <c r="F122" s="179">
        <f>+INDEX('Budget original'!$A$2:$AO$496,MATCH($A122,'Budget original'!$A$2:$A$496,0),MATCH(F$2,'Budget original'!$A$2:$AO$2,0))</f>
        <v>6544.9093869731805</v>
      </c>
      <c r="G122" s="303"/>
      <c r="H122" s="178"/>
      <c r="I122" s="179">
        <f>+INDEX('Budget révisé'!$A$2:$AO$496,MATCH($A122,'Budget révisé'!$A$2:$A$496,0),MATCH(I$2,'Budget révisé'!$A$2:$AO$2,0))</f>
        <v>6544.9093869731805</v>
      </c>
      <c r="J122" s="303"/>
      <c r="K122" s="178"/>
      <c r="L122" s="281">
        <f>SUMIFS(BV_Data_An_Cour!$O:$O,BV_Data_An_Cour!$U:$U,$B122,BV_Data_An_Cour!$V:$V,$C122,BV_Data_An_Cour!$W:$W,$L$2)</f>
        <v>6815.18</v>
      </c>
      <c r="M122" s="303"/>
      <c r="N122" s="304">
        <f t="shared" ref="N122:N133" si="88">L122-I122</f>
        <v>270.27061302681977</v>
      </c>
      <c r="O122" s="303"/>
      <c r="P122" s="178"/>
      <c r="Q122" s="180">
        <f>SUMIFS(BV_Data_An_Prec!$O:$O,BV_Data_An_Prec!$U:$U,$B122,BV_Data_An_Prec!$V:$V,$C122,BV_Data_An_Prec!$W:$W,$L$2)</f>
        <v>8941.5300000000007</v>
      </c>
      <c r="R122" s="303"/>
      <c r="S122" s="199">
        <f t="shared" ref="S122:S133" si="89">L122-Q122</f>
        <v>-2126.3500000000004</v>
      </c>
      <c r="T122" s="233"/>
      <c r="U122" s="233"/>
      <c r="V122" s="222" t="s">
        <v>2876</v>
      </c>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tr">
        <f t="shared" si="53"/>
        <v>Véhicules usagésSalaires commis</v>
      </c>
      <c r="B123" s="24" t="s">
        <v>144</v>
      </c>
      <c r="C123" s="306" t="s">
        <v>113</v>
      </c>
      <c r="D123" s="301"/>
      <c r="E123" s="178"/>
      <c r="F123" s="177">
        <f>+INDEX('Budget original'!$A$2:$AO$496,MATCH($A123,'Budget original'!$A$2:$A$496,0),MATCH(F$2,'Budget original'!$A$2:$AO$2,0))</f>
        <v>2228.7467866973179</v>
      </c>
      <c r="G123" s="302"/>
      <c r="H123" s="178"/>
      <c r="I123" s="177">
        <f>+INDEX('Budget révisé'!$A$2:$AO$496,MATCH($A123,'Budget révisé'!$A$2:$A$496,0),MATCH(I$2,'Budget révisé'!$A$2:$AO$2,0))</f>
        <v>2228.7467866973179</v>
      </c>
      <c r="J123" s="303"/>
      <c r="K123" s="178"/>
      <c r="L123" s="177">
        <f>SUMIFS(BV_Data_An_Cour!$O:$O,BV_Data_An_Cour!$U:$U,$B123,BV_Data_An_Cour!$V:$V,$C123,BV_Data_An_Cour!$W:$W,$L$2)</f>
        <v>1993.99</v>
      </c>
      <c r="M123" s="303"/>
      <c r="N123" s="304">
        <f t="shared" si="88"/>
        <v>-234.75678669731792</v>
      </c>
      <c r="O123" s="303"/>
      <c r="P123" s="178"/>
      <c r="Q123" s="177">
        <f>SUMIFS(BV_Data_An_Prec!$O:$O,BV_Data_An_Prec!$U:$U,$B123,BV_Data_An_Prec!$V:$V,$C123,BV_Data_An_Prec!$W:$W,$L$2)</f>
        <v>2713.28</v>
      </c>
      <c r="R123" s="303"/>
      <c r="S123" s="199">
        <f t="shared" si="89"/>
        <v>-719.29000000000019</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tr">
        <f t="shared" si="53"/>
        <v>Véhicules usagésSalaires autres</v>
      </c>
      <c r="B124" s="24" t="s">
        <v>144</v>
      </c>
      <c r="C124" s="305" t="s">
        <v>114</v>
      </c>
      <c r="D124" s="392"/>
      <c r="E124" s="352"/>
      <c r="F124" s="179">
        <f>+INDEX('Budget original'!$A$2:$AO$496,MATCH($A124,'Budget original'!$A$2:$A$496,0),MATCH(F$2,'Budget original'!$A$2:$AO$2,0))</f>
        <v>7027.5993604413807</v>
      </c>
      <c r="G124" s="393"/>
      <c r="H124" s="352"/>
      <c r="I124" s="179">
        <f>+INDEX('Budget révisé'!$A$2:$AO$496,MATCH($A124,'Budget révisé'!$A$2:$A$496,0),MATCH(I$2,'Budget révisé'!$A$2:$AO$2,0))</f>
        <v>7027.5993604413807</v>
      </c>
      <c r="J124" s="368"/>
      <c r="K124" s="352"/>
      <c r="L124" s="281">
        <f>SUMIFS(BV_Data_An_Cour!$O:$O,BV_Data_An_Cour!$U:$U,$B124,BV_Data_An_Cour!$V:$V,$C124,BV_Data_An_Cour!$W:$W,$L$2)</f>
        <v>8332.5499999999993</v>
      </c>
      <c r="M124" s="368"/>
      <c r="N124" s="356">
        <f t="shared" si="88"/>
        <v>1304.9506395586186</v>
      </c>
      <c r="O124" s="368"/>
      <c r="P124" s="352"/>
      <c r="Q124" s="180">
        <f>SUMIFS(BV_Data_An_Prec!$O:$O,BV_Data_An_Prec!$U:$U,$B124,BV_Data_An_Prec!$V:$V,$C124,BV_Data_An_Prec!$W:$W,$L$2)</f>
        <v>11125.31</v>
      </c>
      <c r="R124" s="368"/>
      <c r="S124" s="201">
        <f t="shared" si="89"/>
        <v>-2792.76</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3"/>
        <v>Véhicules usagésSalaires spécialistes</v>
      </c>
      <c r="B125" s="24" t="s">
        <v>144</v>
      </c>
      <c r="C125" s="305" t="s">
        <v>115</v>
      </c>
      <c r="D125" s="301"/>
      <c r="E125" s="178"/>
      <c r="F125" s="179">
        <f>+INDEX('Budget original'!$A$2:$AO$496,MATCH($A125,'Budget original'!$A$2:$A$496,0),MATCH(F$2,'Budget original'!$A$2:$AO$2,0))</f>
        <v>0</v>
      </c>
      <c r="G125" s="302"/>
      <c r="H125" s="178"/>
      <c r="I125" s="179">
        <f>+INDEX('Budget révisé'!$A$2:$AO$496,MATCH($A125,'Budget révisé'!$A$2:$A$496,0),MATCH(I$2,'Budget révisé'!$A$2:$AO$2,0))</f>
        <v>0</v>
      </c>
      <c r="J125" s="303"/>
      <c r="K125" s="178"/>
      <c r="L125" s="180">
        <f>SUMIFS(BV_Data_An_Cour!$O:$O,BV_Data_An_Cour!$U:$U,$B125,BV_Data_An_Cour!$V:$V,$C125,BV_Data_An_Cour!$W:$W,$L$2)</f>
        <v>0</v>
      </c>
      <c r="M125" s="303"/>
      <c r="N125" s="304">
        <f t="shared" si="88"/>
        <v>0</v>
      </c>
      <c r="O125" s="303"/>
      <c r="P125" s="178"/>
      <c r="Q125" s="180">
        <f>SUMIFS(BV_Data_An_Prec!$O:$O,BV_Data_An_Prec!$U:$U,$B125,BV_Data_An_Prec!$V:$V,$C125,BV_Data_An_Prec!$W:$W,$L$2)</f>
        <v>0</v>
      </c>
      <c r="R125" s="303"/>
      <c r="S125" s="199">
        <f t="shared" si="89"/>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tr">
        <f t="shared" ref="A126:A128" si="90">+B126&amp;C126</f>
        <v>Véhicules usagés[...]</v>
      </c>
      <c r="B126" s="24" t="s">
        <v>144</v>
      </c>
      <c r="C126" s="305" t="s">
        <v>42</v>
      </c>
      <c r="D126" s="301"/>
      <c r="E126" s="178"/>
      <c r="F126" s="179">
        <f>+INDEX('Budget original'!$A$2:$AO$496,MATCH($A126,'Budget original'!$A$2:$A$496,0),MATCH(F$2,'Budget original'!$A$2:$AO$2,0))</f>
        <v>0</v>
      </c>
      <c r="G126" s="302"/>
      <c r="H126" s="178"/>
      <c r="I126" s="179">
        <f>+INDEX('Budget révisé'!$A$2:$AO$496,MATCH($A126,'Budget révisé'!$A$2:$A$496,0),MATCH(I$2,'Budget révisé'!$A$2:$AO$2,0))</f>
        <v>0</v>
      </c>
      <c r="J126" s="303"/>
      <c r="K126" s="178"/>
      <c r="L126" s="180">
        <f>SUMIFS(BV_Data_An_Cour!$O:$O,BV_Data_An_Cour!$U:$U,$B126,BV_Data_An_Cour!$V:$V,$C126,BV_Data_An_Cour!$W:$W,$L$2)</f>
        <v>0</v>
      </c>
      <c r="M126" s="303"/>
      <c r="N126" s="304">
        <f t="shared" ref="N126:N129" si="91">L126-I126</f>
        <v>0</v>
      </c>
      <c r="O126" s="303"/>
      <c r="P126" s="178"/>
      <c r="Q126" s="180">
        <f>SUMIFS(BV_Data_An_Prec!$O:$O,BV_Data_An_Prec!$U:$U,$B126,BV_Data_An_Prec!$V:$V,$C126,BV_Data_An_Prec!$W:$W,$L$2)</f>
        <v>0</v>
      </c>
      <c r="R126" s="303"/>
      <c r="S126" s="199">
        <f t="shared" ref="S126:S129" si="92">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tr">
        <f t="shared" si="90"/>
        <v>Véhicules usagés[...]</v>
      </c>
      <c r="B127" s="24" t="s">
        <v>144</v>
      </c>
      <c r="C127" s="305" t="s">
        <v>42</v>
      </c>
      <c r="D127" s="301"/>
      <c r="E127" s="178"/>
      <c r="F127" s="179">
        <f>+INDEX('Budget original'!$A$2:$AO$496,MATCH($A127,'Budget original'!$A$2:$A$496,0),MATCH(F$2,'Budget original'!$A$2:$AO$2,0))</f>
        <v>0</v>
      </c>
      <c r="G127" s="302"/>
      <c r="H127" s="178"/>
      <c r="I127" s="179">
        <f>+INDEX('Budget révisé'!$A$2:$AO$496,MATCH($A127,'Budget révisé'!$A$2:$A$496,0),MATCH(I$2,'Budget révisé'!$A$2:$AO$2,0))</f>
        <v>0</v>
      </c>
      <c r="J127" s="303"/>
      <c r="K127" s="178"/>
      <c r="L127" s="180">
        <f>SUMIFS(BV_Data_An_Cour!$O:$O,BV_Data_An_Cour!$U:$U,$B127,BV_Data_An_Cour!$V:$V,$C127,BV_Data_An_Cour!$W:$W,$L$2)</f>
        <v>0</v>
      </c>
      <c r="M127" s="303"/>
      <c r="N127" s="304">
        <f t="shared" si="91"/>
        <v>0</v>
      </c>
      <c r="O127" s="303"/>
      <c r="P127" s="178"/>
      <c r="Q127" s="180">
        <f>SUMIFS(BV_Data_An_Prec!$O:$O,BV_Data_An_Prec!$U:$U,$B127,BV_Data_An_Prec!$V:$V,$C127,BV_Data_An_Prec!$W:$W,$L$2)</f>
        <v>0</v>
      </c>
      <c r="R127" s="303"/>
      <c r="S127" s="199">
        <f t="shared" si="92"/>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tr">
        <f t="shared" si="90"/>
        <v>Véhicules usagés[...]</v>
      </c>
      <c r="B128" s="24" t="s">
        <v>144</v>
      </c>
      <c r="C128" s="305" t="s">
        <v>42</v>
      </c>
      <c r="D128" s="301"/>
      <c r="E128" s="178"/>
      <c r="F128" s="179">
        <f>+INDEX('Budget original'!$A$2:$AO$496,MATCH($A128,'Budget original'!$A$2:$A$496,0),MATCH(F$2,'Budget original'!$A$2:$AO$2,0))</f>
        <v>0</v>
      </c>
      <c r="G128" s="302"/>
      <c r="H128" s="178"/>
      <c r="I128" s="179">
        <f>+INDEX('Budget révisé'!$A$2:$AO$496,MATCH($A128,'Budget révisé'!$A$2:$A$496,0),MATCH(I$2,'Budget révisé'!$A$2:$AO$2,0))</f>
        <v>0</v>
      </c>
      <c r="J128" s="303"/>
      <c r="K128" s="178"/>
      <c r="L128" s="180">
        <f>SUMIFS(BV_Data_An_Cour!$O:$O,BV_Data_An_Cour!$U:$U,$B128,BV_Data_An_Cour!$V:$V,$C128,BV_Data_An_Cour!$W:$W,$L$2)</f>
        <v>0</v>
      </c>
      <c r="M128" s="303"/>
      <c r="N128" s="304">
        <f t="shared" si="91"/>
        <v>0</v>
      </c>
      <c r="O128" s="303"/>
      <c r="P128" s="178"/>
      <c r="Q128" s="180">
        <f>SUMIFS(BV_Data_An_Prec!$O:$O,BV_Data_An_Prec!$U:$U,$B128,BV_Data_An_Prec!$V:$V,$C128,BV_Data_An_Prec!$W:$W,$L$2)</f>
        <v>0</v>
      </c>
      <c r="R128" s="303"/>
      <c r="S128" s="199">
        <f t="shared" si="92"/>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3"/>
        <v>Véhicules usagésSalaires en absences</v>
      </c>
      <c r="B129" s="24" t="s">
        <v>144</v>
      </c>
      <c r="C129" s="306" t="s">
        <v>116</v>
      </c>
      <c r="D129" s="301"/>
      <c r="E129" s="178"/>
      <c r="F129" s="179">
        <f>+INDEX('Budget original'!$A$2:$AO$496,MATCH($A129,'Budget original'!$A$2:$A$496,0),MATCH(F$2,'Budget original'!$A$2:$AO$2,0))</f>
        <v>5974.3965602190747</v>
      </c>
      <c r="G129" s="302"/>
      <c r="H129" s="178"/>
      <c r="I129" s="179">
        <f>+INDEX('Budget révisé'!$A$2:$AO$496,MATCH($A129,'Budget révisé'!$A$2:$A$496,0),MATCH(I$2,'Budget révisé'!$A$2:$AO$2,0))</f>
        <v>5974.3965602190747</v>
      </c>
      <c r="J129" s="303"/>
      <c r="K129" s="178"/>
      <c r="L129" s="180">
        <f>SUMIFS(BV_Data_An_Cour!$O:$O,BV_Data_An_Cour!$U:$U,$B129,BV_Data_An_Cour!$V:$V,$C129,BV_Data_An_Cour!$W:$W,$L$2)</f>
        <v>4242.43</v>
      </c>
      <c r="M129" s="303"/>
      <c r="N129" s="304">
        <f t="shared" si="91"/>
        <v>-1731.9665602190744</v>
      </c>
      <c r="O129" s="303"/>
      <c r="P129" s="178"/>
      <c r="Q129" s="180">
        <f>SUMIFS(BV_Data_An_Prec!$O:$O,BV_Data_An_Prec!$U:$U,$B129,BV_Data_An_Prec!$V:$V,$C129,BV_Data_An_Prec!$W:$W,$L$2)</f>
        <v>5233.71</v>
      </c>
      <c r="R129" s="303"/>
      <c r="S129" s="199">
        <f t="shared" si="92"/>
        <v>-991.27999999999975</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3"/>
        <v>Véhicules usagésDéduction à la source</v>
      </c>
      <c r="B130" s="24" t="s">
        <v>144</v>
      </c>
      <c r="C130" s="280" t="s">
        <v>117</v>
      </c>
      <c r="D130" s="285"/>
      <c r="E130" s="286"/>
      <c r="F130" s="632">
        <f>+INDEX('Budget original'!$A$2:$AO$496,MATCH($A130,'Budget original'!$A$2:$A$496,0),MATCH(F$2,'Budget original'!$A$2:$AO$2,0))</f>
        <v>5974.3965602190747</v>
      </c>
      <c r="G130" s="287"/>
      <c r="H130" s="286"/>
      <c r="I130" s="632">
        <f>+INDEX('Budget révisé'!$A$2:$AO$496,MATCH($A130,'Budget révisé'!$A$2:$A$496,0),MATCH(I$2,'Budget révisé'!$A$2:$AO$2,0))</f>
        <v>5974.3965602190747</v>
      </c>
      <c r="J130" s="288"/>
      <c r="K130" s="286"/>
      <c r="L130" s="633">
        <f>SUMIFS(BV_Data_An_Cour!$O:$O,BV_Data_An_Cour!$U:$U,$B130,BV_Data_An_Cour!$V:$V,$C130,BV_Data_An_Cour!$W:$W,$L$2)</f>
        <v>9012.56</v>
      </c>
      <c r="M130" s="288"/>
      <c r="N130" s="356">
        <f t="shared" si="88"/>
        <v>3038.1634397809248</v>
      </c>
      <c r="O130" s="288"/>
      <c r="P130" s="286"/>
      <c r="Q130" s="633">
        <f>SUMIFS(BV_Data_An_Prec!$O:$O,BV_Data_An_Prec!$U:$U,$B130,BV_Data_An_Prec!$V:$V,$C130,BV_Data_An_Prec!$W:$W,$L$2)</f>
        <v>5403.9</v>
      </c>
      <c r="R130" s="288"/>
      <c r="S130" s="290">
        <f t="shared" si="89"/>
        <v>3608.66</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3"/>
        <v>Véhicules usagésBénéfices marginaux</v>
      </c>
      <c r="B131" s="24" t="s">
        <v>144</v>
      </c>
      <c r="C131" s="280" t="s">
        <v>118</v>
      </c>
      <c r="D131" s="262"/>
      <c r="E131" s="233"/>
      <c r="F131" s="231">
        <f>+INDEX('Budget original'!$A$2:$AO$496,MATCH($A131,'Budget original'!$A$2:$A$496,0),MATCH(F$2,'Budget original'!$A$2:$AO$2,0))</f>
        <v>4281.6508681570031</v>
      </c>
      <c r="G131" s="283"/>
      <c r="H131" s="233"/>
      <c r="I131" s="231">
        <f>+INDEX('Budget révisé'!$A$2:$AO$496,MATCH($A131,'Budget révisé'!$A$2:$A$496,0),MATCH(I$2,'Budget révisé'!$A$2:$AO$2,0))</f>
        <v>4281.6508681570031</v>
      </c>
      <c r="J131" s="227"/>
      <c r="K131" s="233"/>
      <c r="L131" s="281">
        <f>SUMIFS(BV_Data_An_Cour!$O:$O,BV_Data_An_Cour!$U:$U,$B131,BV_Data_An_Cour!$V:$V,$C131,BV_Data_An_Cour!$W:$W,$L$2)</f>
        <v>6459</v>
      </c>
      <c r="M131" s="227"/>
      <c r="N131" s="304">
        <f t="shared" si="88"/>
        <v>2177.3491318429969</v>
      </c>
      <c r="O131" s="227"/>
      <c r="P131" s="233"/>
      <c r="Q131" s="281">
        <f>SUMIFS(BV_Data_An_Prec!$O:$O,BV_Data_An_Prec!$U:$U,$B131,BV_Data_An_Prec!$V:$V,$C131,BV_Data_An_Prec!$W:$W,$L$2)</f>
        <v>3467.86</v>
      </c>
      <c r="R131" s="227"/>
      <c r="S131" s="284">
        <f t="shared" si="89"/>
        <v>2991.14</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3"/>
        <v>Véhicules usagésCsst</v>
      </c>
      <c r="B132" s="24" t="s">
        <v>144</v>
      </c>
      <c r="C132" s="280" t="s">
        <v>119</v>
      </c>
      <c r="D132" s="262"/>
      <c r="E132" s="233"/>
      <c r="F132" s="231">
        <f>+INDEX('Budget original'!$A$2:$AO$496,MATCH($A132,'Budget original'!$A$2:$A$496,0),MATCH(F$2,'Budget original'!$A$2:$AO$2,0))</f>
        <v>995.73276003651256</v>
      </c>
      <c r="G132" s="283"/>
      <c r="H132" s="233"/>
      <c r="I132" s="231">
        <f>+INDEX('Budget révisé'!$A$2:$AO$496,MATCH($A132,'Budget révisé'!$A$2:$A$496,0),MATCH(I$2,'Budget révisé'!$A$2:$AO$2,0))</f>
        <v>995.73276003651256</v>
      </c>
      <c r="J132" s="227"/>
      <c r="K132" s="233"/>
      <c r="L132" s="281">
        <f>SUMIFS(BV_Data_An_Cour!$O:$O,BV_Data_An_Cour!$U:$U,$B132,BV_Data_An_Cour!$V:$V,$C132,BV_Data_An_Cour!$W:$W,$L$2)</f>
        <v>1502.09</v>
      </c>
      <c r="M132" s="227"/>
      <c r="N132" s="304">
        <f t="shared" si="88"/>
        <v>506.35723996348736</v>
      </c>
      <c r="O132" s="227"/>
      <c r="P132" s="233"/>
      <c r="Q132" s="281">
        <f>SUMIFS(BV_Data_An_Prec!$O:$O,BV_Data_An_Prec!$U:$U,$B132,BV_Data_An_Prec!$V:$V,$C132,BV_Data_An_Prec!$W:$W,$L$2)</f>
        <v>1257.49</v>
      </c>
      <c r="R132" s="227"/>
      <c r="S132" s="284">
        <f t="shared" si="89"/>
        <v>244.59999999999991</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3"/>
        <v>Véhicules usagés[...]</v>
      </c>
      <c r="B133" s="24" t="s">
        <v>144</v>
      </c>
      <c r="C133" s="291" t="s">
        <v>42</v>
      </c>
      <c r="D133" s="292"/>
      <c r="E133" s="293"/>
      <c r="F133" s="231">
        <f>+INDEX('Budget original'!$A$2:$AO$496,MATCH($A133,'Budget original'!$A$2:$A$496,0),MATCH(F$2,'Budget original'!$A$2:$AO$2,0))</f>
        <v>0</v>
      </c>
      <c r="G133" s="294"/>
      <c r="H133" s="293"/>
      <c r="I133" s="231">
        <f>+INDEX('Budget révisé'!$A$2:$AO$496,MATCH($A133,'Budget révisé'!$A$2:$A$496,0),MATCH(I$2,'Budget révisé'!$A$2:$AO$2,0))</f>
        <v>0</v>
      </c>
      <c r="J133" s="295"/>
      <c r="K133" s="293"/>
      <c r="L133" s="281">
        <f>SUMIFS(BV_Data_An_Cour!$O:$O,BV_Data_An_Cour!$U:$U,$B133,BV_Data_An_Cour!$V:$V,$C133,BV_Data_An_Cour!$W:$W,$L$2)</f>
        <v>0</v>
      </c>
      <c r="M133" s="295"/>
      <c r="N133" s="196">
        <f t="shared" si="88"/>
        <v>0</v>
      </c>
      <c r="O133" s="295"/>
      <c r="P133" s="293"/>
      <c r="Q133" s="281">
        <f>SUMIFS(BV_Data_An_Prec!$O:$O,BV_Data_An_Prec!$U:$U,$B133,BV_Data_An_Prec!$V:$V,$C133,BV_Data_An_Prec!$W:$W,$L$2)</f>
        <v>0</v>
      </c>
      <c r="R133" s="295"/>
      <c r="S133" s="297">
        <f t="shared" si="89"/>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3"/>
        <v>Véhicules usagésTOTAL PERSONNEL</v>
      </c>
      <c r="B134" s="24" t="s">
        <v>144</v>
      </c>
      <c r="C134" s="298" t="s">
        <v>120</v>
      </c>
      <c r="D134" s="39" t="s">
        <v>111</v>
      </c>
      <c r="E134" s="40">
        <f>F134/F$107</f>
        <v>0.35353251425727389</v>
      </c>
      <c r="F134" s="41">
        <f>+SUM(F122:F133)</f>
        <v>33027.432282743539</v>
      </c>
      <c r="G134" s="42" t="s">
        <v>111</v>
      </c>
      <c r="H134" s="40">
        <f>I134/I$107</f>
        <v>0.35353251425727389</v>
      </c>
      <c r="I134" s="41">
        <f>+SUM(I122:I133)</f>
        <v>33027.432282743539</v>
      </c>
      <c r="J134" s="42" t="s">
        <v>111</v>
      </c>
      <c r="K134" s="40">
        <f>L134/L$107</f>
        <v>0.21534176912174469</v>
      </c>
      <c r="L134" s="41">
        <f>SUM(L122:L133)</f>
        <v>38357.799999999996</v>
      </c>
      <c r="M134" s="43"/>
      <c r="N134" s="46">
        <f t="shared" ref="N134:N147" si="93">L134-I134</f>
        <v>5330.3677172564567</v>
      </c>
      <c r="O134" s="42" t="s">
        <v>111</v>
      </c>
      <c r="P134" s="40">
        <f>Q134/Q$107</f>
        <v>0.38965724372961968</v>
      </c>
      <c r="Q134" s="41">
        <f>SUM(Q122:Q133)</f>
        <v>38143.08</v>
      </c>
      <c r="R134" s="43"/>
      <c r="S134" s="299">
        <f t="shared" ref="S134:S147" si="94">L134-Q134</f>
        <v>214.71999999999389</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3"/>
        <v>Véhicules usagésPublicité 2</v>
      </c>
      <c r="B135" s="24" t="s">
        <v>144</v>
      </c>
      <c r="C135" s="264" t="s">
        <v>121</v>
      </c>
      <c r="D135" s="301"/>
      <c r="E135" s="178"/>
      <c r="F135" s="179">
        <f>+INDEX('Budget original'!$A$2:$AO$496,MATCH($A135,'Budget original'!$A$2:$A$496,0),MATCH(F$2,'Budget original'!$A$2:$AO$2,0))</f>
        <v>0</v>
      </c>
      <c r="G135" s="302"/>
      <c r="H135" s="178"/>
      <c r="I135" s="179">
        <f>+INDEX('Budget révisé'!$A$2:$AO$496,MATCH($A135,'Budget révisé'!$A$2:$A$496,0),MATCH(I$2,'Budget révisé'!$A$2:$AO$2,0))</f>
        <v>0</v>
      </c>
      <c r="J135" s="303"/>
      <c r="K135" s="178"/>
      <c r="L135" s="281">
        <f>SUMIFS(BV_Data_An_Cour!$O:$O,BV_Data_An_Cour!$U:$U,$B135,BV_Data_An_Cour!$V:$V,$C135,BV_Data_An_Cour!$W:$W,$L$2)</f>
        <v>0</v>
      </c>
      <c r="M135" s="303"/>
      <c r="N135" s="304">
        <f t="shared" si="93"/>
        <v>0</v>
      </c>
      <c r="O135" s="303"/>
      <c r="P135" s="178"/>
      <c r="Q135" s="281">
        <f>SUMIFS(BV_Data_An_Prec!$O:$O,BV_Data_An_Prec!$U:$U,$B135,BV_Data_An_Prec!$V:$V,$C135,BV_Data_An_Prec!$W:$W,$L$2)</f>
        <v>0</v>
      </c>
      <c r="R135" s="303"/>
      <c r="S135" s="199">
        <f t="shared" si="94"/>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3"/>
        <v>Véhicules usagésService gratuit 2</v>
      </c>
      <c r="B136" s="24" t="s">
        <v>144</v>
      </c>
      <c r="C136" s="264" t="s">
        <v>122</v>
      </c>
      <c r="D136" s="301"/>
      <c r="E136" s="178"/>
      <c r="F136" s="179">
        <f>+INDEX('Budget original'!$A$2:$AO$496,MATCH($A136,'Budget original'!$A$2:$A$496,0),MATCH(F$2,'Budget original'!$A$2:$AO$2,0))</f>
        <v>0</v>
      </c>
      <c r="G136" s="302"/>
      <c r="H136" s="178"/>
      <c r="I136" s="179">
        <f>+INDEX('Budget révisé'!$A$2:$AO$496,MATCH($A136,'Budget révisé'!$A$2:$A$496,0),MATCH(I$2,'Budget révisé'!$A$2:$AO$2,0))</f>
        <v>0</v>
      </c>
      <c r="J136" s="303"/>
      <c r="K136" s="178"/>
      <c r="L136" s="281">
        <f>SUMIFS(BV_Data_An_Cour!$O:$O,BV_Data_An_Cour!$U:$U,$B136,BV_Data_An_Cour!$V:$V,$C136,BV_Data_An_Cour!$W:$W,$L$2)</f>
        <v>0</v>
      </c>
      <c r="M136" s="303"/>
      <c r="N136" s="304">
        <f t="shared" si="93"/>
        <v>0</v>
      </c>
      <c r="O136" s="303"/>
      <c r="P136" s="178"/>
      <c r="Q136" s="180">
        <f>SUMIFS(BV_Data_An_Prec!$O:$O,BV_Data_An_Prec!$U:$U,$B136,BV_Data_An_Prec!$V:$V,$C136,BV_Data_An_Prec!$W:$W,$L$2)</f>
        <v>0</v>
      </c>
      <c r="R136" s="303"/>
      <c r="S136" s="199">
        <f t="shared" si="94"/>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3"/>
        <v>Véhicules usagésFrais véhicules de cie</v>
      </c>
      <c r="B137" s="24" t="s">
        <v>144</v>
      </c>
      <c r="C137" s="326" t="s">
        <v>123</v>
      </c>
      <c r="D137" s="307"/>
      <c r="E137" s="308"/>
      <c r="F137" s="177">
        <f>+INDEX('Budget original'!$A$2:$AO$496,MATCH($A137,'Budget original'!$A$2:$A$496,0),MATCH(F$2,'Budget original'!$A$2:$AO$2,0))</f>
        <v>215.04</v>
      </c>
      <c r="G137" s="309"/>
      <c r="H137" s="308"/>
      <c r="I137" s="177">
        <f>+INDEX('Budget révisé'!$A$2:$AO$496,MATCH($A137,'Budget révisé'!$A$2:$A$496,0),MATCH(I$2,'Budget révisé'!$A$2:$AO$2,0))</f>
        <v>215.04</v>
      </c>
      <c r="J137" s="310"/>
      <c r="K137" s="308"/>
      <c r="L137" s="244">
        <f>SUMIFS(BV_Data_An_Cour!$O:$O,BV_Data_An_Cour!$U:$U,$B137,BV_Data_An_Cour!$V:$V,$C137,BV_Data_An_Cour!$W:$W,$L$2)</f>
        <v>-540.88</v>
      </c>
      <c r="M137" s="310"/>
      <c r="N137" s="311">
        <f t="shared" si="93"/>
        <v>-755.92</v>
      </c>
      <c r="O137" s="310"/>
      <c r="P137" s="308"/>
      <c r="Q137" s="177">
        <f>SUMIFS(BV_Data_An_Prec!$O:$O,BV_Data_An_Prec!$U:$U,$B137,BV_Data_An_Prec!$V:$V,$C137,BV_Data_An_Prec!$W:$W,$L$2)</f>
        <v>1526.9</v>
      </c>
      <c r="R137" s="310"/>
      <c r="S137" s="202">
        <f t="shared" si="94"/>
        <v>-2067.7800000000002</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3"/>
        <v>Véhicules usagésInformatique</v>
      </c>
      <c r="B138" s="24" t="s">
        <v>144</v>
      </c>
      <c r="C138" s="264" t="s">
        <v>124</v>
      </c>
      <c r="D138" s="301"/>
      <c r="E138" s="178"/>
      <c r="F138" s="179">
        <f>+INDEX('Budget original'!$A$2:$AO$496,MATCH($A138,'Budget original'!$A$2:$A$496,0),MATCH(F$2,'Budget original'!$A$2:$AO$2,0))</f>
        <v>2662.7736</v>
      </c>
      <c r="G138" s="302"/>
      <c r="H138" s="178"/>
      <c r="I138" s="179">
        <f>+INDEX('Budget révisé'!$A$2:$AO$496,MATCH($A138,'Budget révisé'!$A$2:$A$496,0),MATCH(I$2,'Budget révisé'!$A$2:$AO$2,0))</f>
        <v>2662.7736</v>
      </c>
      <c r="J138" s="303"/>
      <c r="K138" s="178"/>
      <c r="L138" s="281">
        <f>SUMIFS(BV_Data_An_Cour!$O:$O,BV_Data_An_Cour!$U:$U,$B138,BV_Data_An_Cour!$V:$V,$C138,BV_Data_An_Cour!$W:$W,$L$2)</f>
        <v>1870.65</v>
      </c>
      <c r="M138" s="303"/>
      <c r="N138" s="304">
        <f t="shared" si="93"/>
        <v>-792.1235999999999</v>
      </c>
      <c r="O138" s="303"/>
      <c r="P138" s="178"/>
      <c r="Q138" s="180">
        <f>SUMIFS(BV_Data_An_Prec!$O:$O,BV_Data_An_Prec!$U:$U,$B138,BV_Data_An_Prec!$V:$V,$C138,BV_Data_An_Prec!$W:$W,$L$2)</f>
        <v>2333.15</v>
      </c>
      <c r="R138" s="303"/>
      <c r="S138" s="199">
        <f t="shared" si="94"/>
        <v>-462.5</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3"/>
        <v>Véhicules usagésFrais de déplacement</v>
      </c>
      <c r="B139" s="24" t="s">
        <v>144</v>
      </c>
      <c r="C139" s="264" t="s">
        <v>125</v>
      </c>
      <c r="D139" s="301"/>
      <c r="E139" s="178"/>
      <c r="F139" s="179">
        <f>+INDEX('Budget original'!$A$2:$AO$496,MATCH($A139,'Budget original'!$A$2:$A$496,0),MATCH(F$2,'Budget original'!$A$2:$AO$2,0))</f>
        <v>598.68629999999996</v>
      </c>
      <c r="G139" s="302"/>
      <c r="H139" s="178"/>
      <c r="I139" s="179">
        <f>+INDEX('Budget révisé'!$A$2:$AO$496,MATCH($A139,'Budget révisé'!$A$2:$A$496,0),MATCH(I$2,'Budget révisé'!$A$2:$AO$2,0))</f>
        <v>598.68629999999996</v>
      </c>
      <c r="J139" s="303"/>
      <c r="K139" s="178"/>
      <c r="L139" s="281">
        <f>SUMIFS(BV_Data_An_Cour!$O:$O,BV_Data_An_Cour!$U:$U,$B139,BV_Data_An_Cour!$V:$V,$C139,BV_Data_An_Cour!$W:$W,$L$2)</f>
        <v>867.43</v>
      </c>
      <c r="M139" s="303"/>
      <c r="N139" s="304">
        <f t="shared" si="93"/>
        <v>268.74369999999999</v>
      </c>
      <c r="O139" s="303"/>
      <c r="P139" s="178"/>
      <c r="Q139" s="180">
        <f>SUMIFS(BV_Data_An_Prec!$O:$O,BV_Data_An_Prec!$U:$U,$B139,BV_Data_An_Prec!$V:$V,$C139,BV_Data_An_Prec!$W:$W,$L$2)</f>
        <v>729.24</v>
      </c>
      <c r="R139" s="303"/>
      <c r="S139" s="199">
        <f t="shared" si="94"/>
        <v>138.18999999999994</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3"/>
        <v>Véhicules usagésServices extérieurs</v>
      </c>
      <c r="B140" s="24" t="s">
        <v>144</v>
      </c>
      <c r="C140" s="326" t="s">
        <v>126</v>
      </c>
      <c r="D140" s="307"/>
      <c r="E140" s="308"/>
      <c r="F140" s="177">
        <f>+INDEX('Budget original'!$A$2:$AO$496,MATCH($A140,'Budget original'!$A$2:$A$496,0),MATCH(F$2,'Budget original'!$A$2:$AO$2,0))</f>
        <v>2766.5604999999996</v>
      </c>
      <c r="G140" s="309"/>
      <c r="H140" s="308"/>
      <c r="I140" s="177">
        <f>+INDEX('Budget révisé'!$A$2:$AO$496,MATCH($A140,'Budget révisé'!$A$2:$A$496,0),MATCH(I$2,'Budget révisé'!$A$2:$AO$2,0))</f>
        <v>2766.5604999999996</v>
      </c>
      <c r="J140" s="310"/>
      <c r="K140" s="308"/>
      <c r="L140" s="244">
        <f>SUMIFS(BV_Data_An_Cour!$O:$O,BV_Data_An_Cour!$U:$U,$B140,BV_Data_An_Cour!$V:$V,$C140,BV_Data_An_Cour!$W:$W,$L$2)</f>
        <v>1071.28</v>
      </c>
      <c r="M140" s="310"/>
      <c r="N140" s="311">
        <f t="shared" si="93"/>
        <v>-1695.2804999999996</v>
      </c>
      <c r="O140" s="310"/>
      <c r="P140" s="308"/>
      <c r="Q140" s="177">
        <f>SUMIFS(BV_Data_An_Prec!$O:$O,BV_Data_An_Prec!$U:$U,$B140,BV_Data_An_Prec!$V:$V,$C140,BV_Data_An_Prec!$W:$W,$L$2)</f>
        <v>1657.4</v>
      </c>
      <c r="R140" s="310"/>
      <c r="S140" s="202">
        <f t="shared" si="94"/>
        <v>-586.12000000000012</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3"/>
        <v>Véhicules usagésFournitures autres</v>
      </c>
      <c r="B141" s="24" t="s">
        <v>144</v>
      </c>
      <c r="C141" s="264" t="s">
        <v>127</v>
      </c>
      <c r="D141" s="301"/>
      <c r="E141" s="178"/>
      <c r="F141" s="179">
        <f>+INDEX('Budget original'!$A$2:$AO$496,MATCH($A141,'Budget original'!$A$2:$A$496,0),MATCH(F$2,'Budget original'!$A$2:$AO$2,0))</f>
        <v>145.56782421700345</v>
      </c>
      <c r="G141" s="302"/>
      <c r="H141" s="178"/>
      <c r="I141" s="179">
        <f>+INDEX('Budget révisé'!$A$2:$AO$496,MATCH($A141,'Budget révisé'!$A$2:$A$496,0),MATCH(I$2,'Budget révisé'!$A$2:$AO$2,0))</f>
        <v>145.56782421700345</v>
      </c>
      <c r="J141" s="303"/>
      <c r="K141" s="178"/>
      <c r="L141" s="281">
        <f>SUMIFS(BV_Data_An_Cour!$O:$O,BV_Data_An_Cour!$U:$U,$B141,BV_Data_An_Cour!$V:$V,$C141,BV_Data_An_Cour!$W:$W,$L$2)</f>
        <v>0</v>
      </c>
      <c r="M141" s="303"/>
      <c r="N141" s="304">
        <f t="shared" si="93"/>
        <v>-145.56782421700345</v>
      </c>
      <c r="O141" s="303"/>
      <c r="P141" s="178"/>
      <c r="Q141" s="180">
        <f>SUMIFS(BV_Data_An_Prec!$O:$O,BV_Data_An_Prec!$U:$U,$B141,BV_Data_An_Prec!$V:$V,$C141,BV_Data_An_Prec!$W:$W,$L$2)</f>
        <v>105</v>
      </c>
      <c r="R141" s="303"/>
      <c r="S141" s="199">
        <f t="shared" si="94"/>
        <v>-105</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3"/>
        <v>Véhicules usagésUniformes</v>
      </c>
      <c r="B142" s="24" t="s">
        <v>144</v>
      </c>
      <c r="C142" s="264" t="s">
        <v>128</v>
      </c>
      <c r="D142" s="301"/>
      <c r="E142" s="178"/>
      <c r="F142" s="179">
        <f>+INDEX('Budget original'!$A$2:$AO$496,MATCH($A142,'Budget original'!$A$2:$A$496,0),MATCH(F$2,'Budget original'!$A$2:$AO$2,0))</f>
        <v>10</v>
      </c>
      <c r="G142" s="302"/>
      <c r="H142" s="178"/>
      <c r="I142" s="179">
        <f>+INDEX('Budget révisé'!$A$2:$AO$496,MATCH($A142,'Budget révisé'!$A$2:$A$496,0),MATCH(I$2,'Budget révisé'!$A$2:$AO$2,0))</f>
        <v>10</v>
      </c>
      <c r="J142" s="303"/>
      <c r="K142" s="178"/>
      <c r="L142" s="281">
        <f>SUMIFS(BV_Data_An_Cour!$O:$O,BV_Data_An_Cour!$U:$U,$B142,BV_Data_An_Cour!$V:$V,$C142,BV_Data_An_Cour!$W:$W,$L$2)</f>
        <v>0</v>
      </c>
      <c r="M142" s="303"/>
      <c r="N142" s="304">
        <f t="shared" si="93"/>
        <v>-10</v>
      </c>
      <c r="O142" s="303"/>
      <c r="P142" s="178"/>
      <c r="Q142" s="180">
        <f>SUMIFS(BV_Data_An_Prec!$O:$O,BV_Data_An_Prec!$U:$U,$B142,BV_Data_An_Prec!$V:$V,$C142,BV_Data_An_Prec!$W:$W,$L$2)</f>
        <v>10</v>
      </c>
      <c r="R142" s="303"/>
      <c r="S142" s="199">
        <f t="shared" si="94"/>
        <v>-10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3"/>
        <v>Véhicules usagésPapeterie</v>
      </c>
      <c r="B143" s="24" t="s">
        <v>144</v>
      </c>
      <c r="C143" s="264" t="s">
        <v>129</v>
      </c>
      <c r="D143" s="301"/>
      <c r="E143" s="178"/>
      <c r="F143" s="179">
        <f>+INDEX('Budget original'!$A$2:$AO$496,MATCH($A143,'Budget original'!$A$2:$A$496,0),MATCH(F$2,'Budget original'!$A$2:$AO$2,0))</f>
        <v>261.59999999999997</v>
      </c>
      <c r="G143" s="302"/>
      <c r="H143" s="178"/>
      <c r="I143" s="179">
        <f>+INDEX('Budget révisé'!$A$2:$AO$496,MATCH($A143,'Budget révisé'!$A$2:$A$496,0),MATCH(I$2,'Budget révisé'!$A$2:$AO$2,0))</f>
        <v>261.59999999999997</v>
      </c>
      <c r="J143" s="303"/>
      <c r="K143" s="178"/>
      <c r="L143" s="984">
        <f>SUMIFS(BV_Data_An_Cour!$O:$O,BV_Data_An_Cour!$U:$U,$B143,BV_Data_An_Cour!$V:$V,$C143,BV_Data_An_Cour!$W:$W,$L$2)</f>
        <v>175</v>
      </c>
      <c r="M143" s="303"/>
      <c r="N143" s="304">
        <f t="shared" si="93"/>
        <v>-86.599999999999966</v>
      </c>
      <c r="O143" s="303"/>
      <c r="P143" s="178"/>
      <c r="Q143" s="554">
        <f>SUMIFS(BV_Data_An_Prec!$O:$O,BV_Data_An_Prec!$U:$U,$B143,BV_Data_An_Prec!$V:$V,$C143,BV_Data_An_Prec!$W:$W,$L$2)</f>
        <v>222</v>
      </c>
      <c r="R143" s="303"/>
      <c r="S143" s="199">
        <f t="shared" si="94"/>
        <v>-47</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3"/>
        <v>Véhicules usagésTéléphone</v>
      </c>
      <c r="B144" s="24" t="s">
        <v>144</v>
      </c>
      <c r="C144" s="264" t="s">
        <v>130</v>
      </c>
      <c r="D144" s="301"/>
      <c r="E144" s="178"/>
      <c r="F144" s="179">
        <f>+INDEX('Budget original'!$A$2:$AO$496,MATCH($A144,'Budget original'!$A$2:$A$496,0),MATCH(F$2,'Budget original'!$A$2:$AO$2,0))</f>
        <v>268.09199999999998</v>
      </c>
      <c r="G144" s="302"/>
      <c r="H144" s="178"/>
      <c r="I144" s="179">
        <f>+INDEX('Budget révisé'!$A$2:$AO$496,MATCH($A144,'Budget révisé'!$A$2:$A$496,0),MATCH(I$2,'Budget révisé'!$A$2:$AO$2,0))</f>
        <v>268.09199999999998</v>
      </c>
      <c r="J144" s="303"/>
      <c r="K144" s="178"/>
      <c r="L144" s="281">
        <f>SUMIFS(BV_Data_An_Cour!$O:$O,BV_Data_An_Cour!$U:$U,$B144,BV_Data_An_Cour!$V:$V,$C144,BV_Data_An_Cour!$W:$W,$L$2)</f>
        <v>33.44</v>
      </c>
      <c r="M144" s="303"/>
      <c r="N144" s="304">
        <f t="shared" si="93"/>
        <v>-234.65199999999999</v>
      </c>
      <c r="O144" s="303"/>
      <c r="P144" s="178"/>
      <c r="Q144" s="180">
        <f>SUMIFS(BV_Data_An_Prec!$O:$O,BV_Data_An_Prec!$U:$U,$B144,BV_Data_An_Prec!$V:$V,$C144,BV_Data_An_Prec!$W:$W,$L$2)</f>
        <v>150.69999999999999</v>
      </c>
      <c r="R144" s="303"/>
      <c r="S144" s="199">
        <f t="shared" si="94"/>
        <v>-117.25999999999999</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3"/>
        <v>Véhicules usagésFrais postaux</v>
      </c>
      <c r="B145" s="24" t="s">
        <v>144</v>
      </c>
      <c r="C145" s="264" t="s">
        <v>131</v>
      </c>
      <c r="D145" s="301"/>
      <c r="E145" s="178"/>
      <c r="F145" s="179">
        <f>+INDEX('Budget original'!$A$2:$AO$496,MATCH($A145,'Budget original'!$A$2:$A$496,0),MATCH(F$2,'Budget original'!$A$2:$AO$2,0))</f>
        <v>103.8</v>
      </c>
      <c r="G145" s="302"/>
      <c r="H145" s="178"/>
      <c r="I145" s="179">
        <f>+INDEX('Budget révisé'!$A$2:$AO$496,MATCH($A145,'Budget révisé'!$A$2:$A$496,0),MATCH(I$2,'Budget révisé'!$A$2:$AO$2,0))</f>
        <v>103.8</v>
      </c>
      <c r="J145" s="303"/>
      <c r="K145" s="178"/>
      <c r="L145" s="281">
        <f>SUMIFS(BV_Data_An_Cour!$O:$O,BV_Data_An_Cour!$U:$U,$B145,BV_Data_An_Cour!$V:$V,$C145,BV_Data_An_Cour!$W:$W,$L$2)</f>
        <v>125.63</v>
      </c>
      <c r="M145" s="303"/>
      <c r="N145" s="304">
        <f t="shared" si="93"/>
        <v>21.83</v>
      </c>
      <c r="O145" s="303"/>
      <c r="P145" s="178"/>
      <c r="Q145" s="180">
        <f>SUMIFS(BV_Data_An_Prec!$O:$O,BV_Data_An_Prec!$U:$U,$B145,BV_Data_An_Prec!$V:$V,$C145,BV_Data_An_Prec!$W:$W,$L$2)</f>
        <v>48.93</v>
      </c>
      <c r="R145" s="303"/>
      <c r="S145" s="199">
        <f t="shared" si="94"/>
        <v>76.699999999999989</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3"/>
        <v>Véhicules usagésDivers</v>
      </c>
      <c r="B146" s="24" t="s">
        <v>144</v>
      </c>
      <c r="C146" s="264" t="s">
        <v>132</v>
      </c>
      <c r="D146" s="301"/>
      <c r="E146" s="178"/>
      <c r="F146" s="179">
        <f>+INDEX('Budget original'!$A$2:$AO$496,MATCH($A146,'Budget original'!$A$2:$A$496,0),MATCH(F$2,'Budget original'!$A$2:$AO$2,0))</f>
        <v>430.91999999999996</v>
      </c>
      <c r="G146" s="302"/>
      <c r="H146" s="178"/>
      <c r="I146" s="179">
        <f>+INDEX('Budget révisé'!$A$2:$AO$496,MATCH($A146,'Budget révisé'!$A$2:$A$496,0),MATCH(I$2,'Budget révisé'!$A$2:$AO$2,0))</f>
        <v>430.91999999999996</v>
      </c>
      <c r="J146" s="303"/>
      <c r="K146" s="178"/>
      <c r="L146" s="281">
        <f>SUMIFS(BV_Data_An_Cour!$O:$O,BV_Data_An_Cour!$U:$U,$B146,BV_Data_An_Cour!$V:$V,$C146,BV_Data_An_Cour!$W:$W,$L$2)</f>
        <v>301.39999999999998</v>
      </c>
      <c r="M146" s="303"/>
      <c r="N146" s="304">
        <f t="shared" si="93"/>
        <v>-129.51999999999998</v>
      </c>
      <c r="O146" s="303"/>
      <c r="P146" s="178"/>
      <c r="Q146" s="180">
        <f>SUMIFS(BV_Data_An_Prec!$O:$O,BV_Data_An_Prec!$U:$U,$B146,BV_Data_An_Prec!$V:$V,$C146,BV_Data_An_Prec!$W:$W,$L$2)</f>
        <v>665.7</v>
      </c>
      <c r="R146" s="303"/>
      <c r="S146" s="199">
        <f t="shared" si="94"/>
        <v>-364.30000000000007</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3"/>
        <v>Véhicules usagésFormation</v>
      </c>
      <c r="B147" s="24" t="s">
        <v>144</v>
      </c>
      <c r="C147" s="264" t="s">
        <v>133</v>
      </c>
      <c r="D147" s="301"/>
      <c r="E147" s="178"/>
      <c r="F147" s="179">
        <f>+INDEX('Budget original'!$A$2:$AO$496,MATCH($A147,'Budget original'!$A$2:$A$496,0),MATCH(F$2,'Budget original'!$A$2:$AO$2,0))</f>
        <v>70.63</v>
      </c>
      <c r="G147" s="302"/>
      <c r="H147" s="178"/>
      <c r="I147" s="179">
        <f>+INDEX('Budget révisé'!$A$2:$AO$496,MATCH($A147,'Budget révisé'!$A$2:$A$496,0),MATCH(I$2,'Budget révisé'!$A$2:$AO$2,0))</f>
        <v>70.63</v>
      </c>
      <c r="J147" s="303"/>
      <c r="K147" s="178"/>
      <c r="L147" s="281">
        <f>SUMIFS(BV_Data_An_Cour!$O:$O,BV_Data_An_Cour!$U:$U,$B147,BV_Data_An_Cour!$V:$V,$C147,BV_Data_An_Cour!$W:$W,$L$2)</f>
        <v>10.62</v>
      </c>
      <c r="M147" s="303"/>
      <c r="N147" s="304">
        <f t="shared" si="93"/>
        <v>-60.01</v>
      </c>
      <c r="O147" s="303"/>
      <c r="P147" s="178"/>
      <c r="Q147" s="180">
        <f>SUMIFS(BV_Data_An_Prec!$O:$O,BV_Data_An_Prec!$U:$U,$B147,BV_Data_An_Prec!$V:$V,$C147,BV_Data_An_Prec!$W:$W,$L$2)</f>
        <v>60</v>
      </c>
      <c r="R147" s="303"/>
      <c r="S147" s="199">
        <f t="shared" si="94"/>
        <v>-49.38</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tr">
        <f t="shared" ref="A148:A151" si="95">+B148&amp;C148</f>
        <v>Véhicules usagésFrais bancaires</v>
      </c>
      <c r="B148" s="24" t="s">
        <v>144</v>
      </c>
      <c r="C148" s="264" t="s">
        <v>134</v>
      </c>
      <c r="D148" s="301"/>
      <c r="E148" s="178"/>
      <c r="F148" s="179">
        <f>+INDEX('Budget original'!$A$2:$AO$496,MATCH($A148,'Budget original'!$A$2:$A$496,0),MATCH(F$2,'Budget original'!$A$2:$AO$2,0))</f>
        <v>857.76673390951987</v>
      </c>
      <c r="G148" s="302"/>
      <c r="H148" s="178"/>
      <c r="I148" s="179">
        <f>+INDEX('Budget révisé'!$A$2:$AO$496,MATCH($A148,'Budget révisé'!$A$2:$A$496,0),MATCH(I$2,'Budget révisé'!$A$2:$AO$2,0))</f>
        <v>857.76673390951987</v>
      </c>
      <c r="J148" s="303"/>
      <c r="K148" s="178"/>
      <c r="L148" s="281">
        <f>AF447*W4</f>
        <v>704.00800000000004</v>
      </c>
      <c r="M148" s="303"/>
      <c r="N148" s="304">
        <f t="shared" ref="N148:N151" si="96">L148-I148</f>
        <v>-153.75873390951983</v>
      </c>
      <c r="O148" s="303"/>
      <c r="P148" s="178"/>
      <c r="Q148" s="281">
        <f>AL447*W4</f>
        <v>667.1880000000001</v>
      </c>
      <c r="R148" s="303"/>
      <c r="S148" s="199">
        <f t="shared" ref="S148:S151" si="97">L148-Q148</f>
        <v>36.819999999999936</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tr">
        <f t="shared" si="95"/>
        <v>Véhicules usagés[...]</v>
      </c>
      <c r="B149" s="24" t="s">
        <v>144</v>
      </c>
      <c r="C149" s="264" t="s">
        <v>42</v>
      </c>
      <c r="D149" s="301"/>
      <c r="E149" s="178"/>
      <c r="F149" s="179">
        <f>+INDEX('Budget original'!$A$2:$AO$496,MATCH($A149,'Budget original'!$A$2:$A$496,0),MATCH(F$2,'Budget original'!$A$2:$AO$2,0))</f>
        <v>0</v>
      </c>
      <c r="G149" s="302"/>
      <c r="H149" s="178"/>
      <c r="I149" s="179">
        <f>+INDEX('Budget révisé'!$A$2:$AO$496,MATCH($A149,'Budget révisé'!$A$2:$A$496,0),MATCH(I$2,'Budget révisé'!$A$2:$AO$2,0))</f>
        <v>0</v>
      </c>
      <c r="J149" s="303"/>
      <c r="K149" s="178"/>
      <c r="L149" s="180">
        <f>SUMIFS(BV_Data_An_Cour!$O:$O,BV_Data_An_Cour!$U:$U,$B149,BV_Data_An_Cour!$V:$V,$C149,BV_Data_An_Cour!$W:$W,$L$2)</f>
        <v>0</v>
      </c>
      <c r="M149" s="303"/>
      <c r="N149" s="304">
        <f t="shared" si="96"/>
        <v>0</v>
      </c>
      <c r="O149" s="303"/>
      <c r="P149" s="178"/>
      <c r="Q149" s="180">
        <f>SUMIFS(BV_Data_An_Prec!$O:$O,BV_Data_An_Prec!$U:$U,$B149,BV_Data_An_Prec!$V:$V,$C149,BV_Data_An_Prec!$W:$W,$L$2)</f>
        <v>0</v>
      </c>
      <c r="R149" s="303"/>
      <c r="S149" s="199">
        <f t="shared" si="97"/>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tr">
        <f t="shared" si="95"/>
        <v>Véhicules usagés[...]</v>
      </c>
      <c r="B150" s="24" t="s">
        <v>144</v>
      </c>
      <c r="C150" s="264" t="s">
        <v>42</v>
      </c>
      <c r="D150" s="301"/>
      <c r="E150" s="178"/>
      <c r="F150" s="179">
        <f>+INDEX('Budget original'!$A$2:$AO$496,MATCH($A150,'Budget original'!$A$2:$A$496,0),MATCH(F$2,'Budget original'!$A$2:$AO$2,0))</f>
        <v>0</v>
      </c>
      <c r="G150" s="302"/>
      <c r="H150" s="178"/>
      <c r="I150" s="179">
        <f>+INDEX('Budget révisé'!$A$2:$AO$496,MATCH($A150,'Budget révisé'!$A$2:$A$496,0),MATCH(I$2,'Budget révisé'!$A$2:$AO$2,0))</f>
        <v>0</v>
      </c>
      <c r="J150" s="303"/>
      <c r="K150" s="178"/>
      <c r="L150" s="180">
        <f>SUMIFS(BV_Data_An_Cour!$O:$O,BV_Data_An_Cour!$U:$U,$B150,BV_Data_An_Cour!$V:$V,$C150,BV_Data_An_Cour!$W:$W,$L$2)</f>
        <v>0</v>
      </c>
      <c r="M150" s="303"/>
      <c r="N150" s="304">
        <f t="shared" si="96"/>
        <v>0</v>
      </c>
      <c r="O150" s="303"/>
      <c r="P150" s="178"/>
      <c r="Q150" s="180">
        <f>SUMIFS(BV_Data_An_Prec!$O:$O,BV_Data_An_Prec!$U:$U,$B150,BV_Data_An_Prec!$V:$V,$C150,BV_Data_An_Prec!$W:$W,$L$2)</f>
        <v>0</v>
      </c>
      <c r="R150" s="303"/>
      <c r="S150" s="199">
        <f t="shared" si="97"/>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5"/>
        <v>Véhicules usagés[...]</v>
      </c>
      <c r="B151" s="24" t="s">
        <v>144</v>
      </c>
      <c r="C151" s="264" t="s">
        <v>42</v>
      </c>
      <c r="D151" s="301"/>
      <c r="E151" s="178"/>
      <c r="F151" s="179">
        <f>+INDEX('Budget original'!$A$2:$AO$496,MATCH($A151,'Budget original'!$A$2:$A$496,0),MATCH(F$2,'Budget original'!$A$2:$AO$2,0))</f>
        <v>0</v>
      </c>
      <c r="G151" s="302"/>
      <c r="H151" s="178"/>
      <c r="I151" s="179">
        <f>+INDEX('Budget révisé'!$A$2:$AO$496,MATCH($A151,'Budget révisé'!$A$2:$A$496,0),MATCH(I$2,'Budget révisé'!$A$2:$AO$2,0))</f>
        <v>0</v>
      </c>
      <c r="J151" s="303"/>
      <c r="K151" s="178"/>
      <c r="L151" s="180">
        <f>SUMIFS(BV_Data_An_Cour!$O:$O,BV_Data_An_Cour!$U:$U,$B151,BV_Data_An_Cour!$V:$V,$C151,BV_Data_An_Cour!$W:$W,$L$2)</f>
        <v>0</v>
      </c>
      <c r="M151" s="303"/>
      <c r="N151" s="304">
        <f t="shared" si="96"/>
        <v>0</v>
      </c>
      <c r="O151" s="303"/>
      <c r="P151" s="178"/>
      <c r="Q151" s="180">
        <f>SUMIFS(BV_Data_An_Prec!$O:$O,BV_Data_An_Prec!$U:$U,$B151,BV_Data_An_Prec!$V:$V,$C151,BV_Data_An_Prec!$W:$W,$L$2)</f>
        <v>0</v>
      </c>
      <c r="R151" s="303"/>
      <c r="S151" s="199">
        <f t="shared" si="97"/>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3"/>
        <v>Véhicules usagésTOTAL SEMI-FIXES</v>
      </c>
      <c r="B152" s="24" t="s">
        <v>144</v>
      </c>
      <c r="C152" s="298" t="s">
        <v>135</v>
      </c>
      <c r="D152" s="39" t="s">
        <v>111</v>
      </c>
      <c r="E152" s="40">
        <f>F152/F$107</f>
        <v>8.9823689006181678E-2</v>
      </c>
      <c r="F152" s="41">
        <f>+SUM(F135:F151)</f>
        <v>8391.4369581265237</v>
      </c>
      <c r="G152" s="42" t="s">
        <v>111</v>
      </c>
      <c r="H152" s="40">
        <f>I152/I$107</f>
        <v>8.9823689006181678E-2</v>
      </c>
      <c r="I152" s="41">
        <f>+SUM(I135:I151)</f>
        <v>8391.4369581265237</v>
      </c>
      <c r="J152" s="42" t="s">
        <v>111</v>
      </c>
      <c r="K152" s="40">
        <f>L152/L$107</f>
        <v>2.5928826922992698E-2</v>
      </c>
      <c r="L152" s="41">
        <f>+SUM(L135:L151)</f>
        <v>4618.5779999999995</v>
      </c>
      <c r="M152" s="44"/>
      <c r="N152" s="41">
        <f t="shared" ref="N152" si="98">L152-I152</f>
        <v>-3772.8589581265242</v>
      </c>
      <c r="O152" s="42" t="s">
        <v>111</v>
      </c>
      <c r="P152" s="40">
        <f>Q152/Q$107</f>
        <v>8.3525469716658071E-2</v>
      </c>
      <c r="Q152" s="41">
        <f>+SUM(Q135:Q151)</f>
        <v>8176.2080000000005</v>
      </c>
      <c r="R152" s="44"/>
      <c r="S152" s="316">
        <f t="shared" ref="S152" si="99">L152-Q152</f>
        <v>-3557.630000000001</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3"/>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3"/>
        <v>Véhicules usagésTOTAL DES DÉPENSES</v>
      </c>
      <c r="B154" s="24" t="s">
        <v>144</v>
      </c>
      <c r="C154" s="298" t="s">
        <v>136</v>
      </c>
      <c r="D154" s="39" t="s">
        <v>111</v>
      </c>
      <c r="E154" s="40">
        <f>F154/F$107</f>
        <v>0.91816497868316793</v>
      </c>
      <c r="F154" s="41">
        <f>F121+F134+F152</f>
        <v>85776.075565646694</v>
      </c>
      <c r="G154" s="42" t="s">
        <v>111</v>
      </c>
      <c r="H154" s="40">
        <f>I154/I$107</f>
        <v>0.91816497868316793</v>
      </c>
      <c r="I154" s="41">
        <f>I121+I134+I152</f>
        <v>85776.075565646694</v>
      </c>
      <c r="J154" s="42" t="s">
        <v>111</v>
      </c>
      <c r="K154" s="40">
        <f>L154/L$107</f>
        <v>0.62682548827167717</v>
      </c>
      <c r="L154" s="41">
        <f>L121+L134+L152</f>
        <v>111653.42799999997</v>
      </c>
      <c r="M154" s="44"/>
      <c r="N154" s="46">
        <f>L154-I154</f>
        <v>25877.352434353277</v>
      </c>
      <c r="O154" s="42" t="s">
        <v>111</v>
      </c>
      <c r="P154" s="40">
        <f>Q154/Q$107</f>
        <v>0.89305097212347062</v>
      </c>
      <c r="Q154" s="41">
        <f>Q121+Q134+Q152</f>
        <v>87419.688000000009</v>
      </c>
      <c r="R154" s="44"/>
      <c r="S154" s="299">
        <f>L154-Q154</f>
        <v>24233.739999999962</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3"/>
        <v>Véhicules usagésProgramme used 1</v>
      </c>
      <c r="B155" s="623" t="s">
        <v>144</v>
      </c>
      <c r="C155" s="264" t="s">
        <v>152</v>
      </c>
      <c r="D155" s="414"/>
      <c r="E155" s="415"/>
      <c r="F155" s="179">
        <f>+INDEX('Budget original'!$A$2:$AO$496,MATCH($A155,'Budget original'!$A$2:$A$496,0),MATCH(F$2,'Budget original'!$A$2:$AO$2,0))</f>
        <v>0</v>
      </c>
      <c r="G155" s="416"/>
      <c r="H155" s="415"/>
      <c r="I155" s="179">
        <f>+INDEX('Budget révisé'!$A$2:$AO$496,MATCH($A155,'Budget révisé'!$A$2:$A$496,0),MATCH(I$2,'Budget révisé'!$A$2:$AO$2,0))</f>
        <v>0</v>
      </c>
      <c r="J155" s="416"/>
      <c r="K155" s="985"/>
      <c r="L155" s="984">
        <v>0</v>
      </c>
      <c r="M155" s="303"/>
      <c r="N155" s="304">
        <f t="shared" ref="N155:N157" si="100">L155-I155</f>
        <v>0</v>
      </c>
      <c r="O155" s="416"/>
      <c r="P155" s="415"/>
      <c r="Q155" s="180">
        <f>-SUMIFS(BV_Data_An_Prec!$O:$O,BV_Data_An_Prec!$U:$U,$B155,BV_Data_An_Prec!$V:$V,$C155,BV_Data_An_Prec!$W:$W,$L$2)</f>
        <v>0</v>
      </c>
      <c r="R155" s="303"/>
      <c r="S155" s="199">
        <f t="shared" ref="S155:S157" si="101">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3"/>
        <v>Véhicules usagésProgramme used 2</v>
      </c>
      <c r="B156" s="24" t="s">
        <v>144</v>
      </c>
      <c r="C156" s="264" t="s">
        <v>153</v>
      </c>
      <c r="D156" s="414"/>
      <c r="E156" s="415"/>
      <c r="F156" s="179">
        <f>+INDEX('Budget original'!$A$2:$AO$496,MATCH($A156,'Budget original'!$A$2:$A$496,0),MATCH(F$2,'Budget original'!$A$2:$AO$2,0))</f>
        <v>0</v>
      </c>
      <c r="G156" s="416"/>
      <c r="H156" s="415"/>
      <c r="I156" s="179">
        <f>+INDEX('Budget révisé'!$A$2:$AO$496,MATCH($A156,'Budget révisé'!$A$2:$A$496,0),MATCH(I$2,'Budget révisé'!$A$2:$AO$2,0))</f>
        <v>0</v>
      </c>
      <c r="J156" s="416"/>
      <c r="K156" s="985"/>
      <c r="L156" s="281">
        <f>-SUMIFS(BV_Data_An_Cour!$O:$O,BV_Data_An_Cour!$U:$U,$B156,BV_Data_An_Cour!$V:$V,$C156,BV_Data_An_Cour!$W:$W,$L$2)</f>
        <v>0</v>
      </c>
      <c r="M156" s="303"/>
      <c r="N156" s="304">
        <f t="shared" si="100"/>
        <v>0</v>
      </c>
      <c r="O156" s="416"/>
      <c r="P156" s="415"/>
      <c r="Q156" s="180">
        <f>-SUMIFS(BV_Data_An_Prec!$O:$O,BV_Data_An_Prec!$U:$U,$B156,BV_Data_An_Prec!$V:$V,$C156,BV_Data_An_Prec!$W:$W,$L$2)</f>
        <v>0</v>
      </c>
      <c r="R156" s="303"/>
      <c r="S156" s="199">
        <f t="shared" si="101"/>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3"/>
        <v>Véhicules usagésProgramme used 3</v>
      </c>
      <c r="B157" s="24" t="s">
        <v>144</v>
      </c>
      <c r="C157" s="264" t="s">
        <v>154</v>
      </c>
      <c r="D157" s="301"/>
      <c r="E157" s="178"/>
      <c r="F157" s="179">
        <f>+INDEX('Budget original'!$A$2:$AO$496,MATCH($A157,'Budget original'!$A$2:$A$496,0),MATCH(F$2,'Budget original'!$A$2:$AO$2,0))</f>
        <v>0</v>
      </c>
      <c r="G157" s="302"/>
      <c r="H157" s="178"/>
      <c r="I157" s="179">
        <f>+INDEX('Budget révisé'!$A$2:$AO$496,MATCH($A157,'Budget révisé'!$A$2:$A$496,0),MATCH(I$2,'Budget révisé'!$A$2:$AO$2,0))</f>
        <v>0</v>
      </c>
      <c r="J157" s="303"/>
      <c r="K157" s="233"/>
      <c r="L157" s="281">
        <f>-SUMIFS(BV_Data_An_Cour!$O:$O,BV_Data_An_Cour!$U:$U,$B157,BV_Data_An_Cour!$V:$V,$C157,BV_Data_An_Cour!$W:$W,$L$2)</f>
        <v>0</v>
      </c>
      <c r="M157" s="303"/>
      <c r="N157" s="304">
        <f t="shared" si="100"/>
        <v>0</v>
      </c>
      <c r="O157" s="303"/>
      <c r="P157" s="178"/>
      <c r="Q157" s="180">
        <f>-SUMIFS(BV_Data_An_Prec!$O:$O,BV_Data_An_Prec!$U:$U,$B157,BV_Data_An_Prec!$V:$V,$C157,BV_Data_An_Prec!$W:$W,$L$2)</f>
        <v>0</v>
      </c>
      <c r="R157" s="303"/>
      <c r="S157" s="199">
        <f t="shared" si="101"/>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tr">
        <f t="shared" ref="A158:A161" si="102">+B158&amp;C158</f>
        <v>Véhicules usagésFrais administration</v>
      </c>
      <c r="B158" s="24" t="s">
        <v>144</v>
      </c>
      <c r="C158" s="264" t="s">
        <v>141</v>
      </c>
      <c r="D158" s="301"/>
      <c r="E158" s="178"/>
      <c r="F158" s="179">
        <f>+INDEX('Budget original'!$A$2:$AO$496,MATCH($A158,'Budget original'!$A$2:$A$496,0),MATCH(F$2,'Budget original'!$A$2:$AO$2,0))</f>
        <v>11430.713396640196</v>
      </c>
      <c r="G158" s="302"/>
      <c r="H158" s="178"/>
      <c r="I158" s="179">
        <f>+INDEX('Budget révisé'!$A$2:$AO$496,MATCH($A158,'Budget révisé'!$A$2:$A$496,0),MATCH(I$2,'Budget révisé'!$A$2:$AO$2,0))</f>
        <v>11430.713396640196</v>
      </c>
      <c r="J158" s="303"/>
      <c r="K158" s="233"/>
      <c r="L158" s="984">
        <f>349*J96</f>
        <v>14309</v>
      </c>
      <c r="M158" s="303"/>
      <c r="N158" s="304">
        <f t="shared" ref="N158" si="103">L158-I158</f>
        <v>2878.2866033598038</v>
      </c>
      <c r="O158" s="303"/>
      <c r="P158" s="178"/>
      <c r="Q158" s="180">
        <f>349*O96</f>
        <v>14658</v>
      </c>
      <c r="R158" s="303"/>
      <c r="S158" s="199">
        <f t="shared" ref="S158" si="104">L158-Q158</f>
        <v>-349</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tr">
        <f t="shared" si="102"/>
        <v>Véhicules usagés[...]</v>
      </c>
      <c r="B159" s="24" t="s">
        <v>144</v>
      </c>
      <c r="C159" s="264" t="s">
        <v>42</v>
      </c>
      <c r="D159" s="301"/>
      <c r="E159" s="178"/>
      <c r="F159" s="179">
        <f>+INDEX('Budget original'!$A$2:$AO$496,MATCH($A159,'Budget original'!$A$2:$A$496,0),MATCH(F$2,'Budget original'!$A$2:$AO$2,0))</f>
        <v>0</v>
      </c>
      <c r="G159" s="302"/>
      <c r="H159" s="178"/>
      <c r="I159" s="179">
        <f>+INDEX('Budget révisé'!$A$2:$AO$496,MATCH($A159,'Budget révisé'!$A$2:$A$496,0),MATCH(I$2,'Budget révisé'!$A$2:$AO$2,0))</f>
        <v>0</v>
      </c>
      <c r="J159" s="303"/>
      <c r="K159" s="233"/>
      <c r="L159" s="984">
        <f>-SUMIFS(BV_Data_An_Cour!$O:$O,BV_Data_An_Cour!$U:$U,$B159,BV_Data_An_Cour!$V:$V,$C159,BV_Data_An_Cour!$W:$W,$L$2)</f>
        <v>0</v>
      </c>
      <c r="M159" s="303"/>
      <c r="N159" s="304">
        <f t="shared" ref="N159:N161" si="105">L159-I159</f>
        <v>0</v>
      </c>
      <c r="O159" s="303"/>
      <c r="P159" s="178"/>
      <c r="Q159" s="180">
        <f>-SUMIFS(BV_Data_An_Prec!$O:$O,BV_Data_An_Prec!$U:$U,$B159,BV_Data_An_Prec!$V:$V,$C159,BV_Data_An_Prec!$W:$W,$L$2)</f>
        <v>0</v>
      </c>
      <c r="R159" s="303"/>
      <c r="S159" s="199">
        <f t="shared" ref="S159:S161" si="106">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tr">
        <f t="shared" si="102"/>
        <v>Véhicules usagés[...]</v>
      </c>
      <c r="B160" s="24" t="s">
        <v>144</v>
      </c>
      <c r="C160" s="264" t="s">
        <v>42</v>
      </c>
      <c r="D160" s="301"/>
      <c r="E160" s="178"/>
      <c r="F160" s="179">
        <f>+INDEX('Budget original'!$A$2:$AO$496,MATCH($A160,'Budget original'!$A$2:$A$496,0),MATCH(F$2,'Budget original'!$A$2:$AO$2,0))</f>
        <v>0</v>
      </c>
      <c r="G160" s="302"/>
      <c r="H160" s="178"/>
      <c r="I160" s="179">
        <f>+INDEX('Budget révisé'!$A$2:$AO$496,MATCH($A160,'Budget révisé'!$A$2:$A$496,0),MATCH(I$2,'Budget révisé'!$A$2:$AO$2,0))</f>
        <v>0</v>
      </c>
      <c r="J160" s="303"/>
      <c r="K160" s="178"/>
      <c r="L160" s="554">
        <f>-SUMIFS(BV_Data_An_Cour!$O:$O,BV_Data_An_Cour!$U:$U,$B160,BV_Data_An_Cour!$V:$V,$C160,BV_Data_An_Cour!$W:$W,$L$2)</f>
        <v>0</v>
      </c>
      <c r="M160" s="303"/>
      <c r="N160" s="304">
        <f t="shared" si="105"/>
        <v>0</v>
      </c>
      <c r="O160" s="303"/>
      <c r="P160" s="178"/>
      <c r="Q160" s="180">
        <f>-SUMIFS(BV_Data_An_Prec!$O:$O,BV_Data_An_Prec!$U:$U,$B160,BV_Data_An_Prec!$V:$V,$C160,BV_Data_An_Prec!$W:$W,$L$2)</f>
        <v>0</v>
      </c>
      <c r="R160" s="303"/>
      <c r="S160" s="199">
        <f t="shared" si="106"/>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102"/>
        <v>Véhicules usagés[...]</v>
      </c>
      <c r="B161" s="24" t="s">
        <v>144</v>
      </c>
      <c r="C161" s="326" t="s">
        <v>42</v>
      </c>
      <c r="D161" s="307"/>
      <c r="E161" s="308"/>
      <c r="F161" s="179">
        <f>+INDEX('Budget original'!$A$2:$AO$496,MATCH($A161,'Budget original'!$A$2:$A$496,0),MATCH(F$2,'Budget original'!$A$2:$AO$2,0))</f>
        <v>0</v>
      </c>
      <c r="G161" s="302"/>
      <c r="H161" s="178"/>
      <c r="I161" s="179">
        <f>+INDEX('Budget révisé'!$A$2:$AO$496,MATCH($A161,'Budget révisé'!$A$2:$A$496,0),MATCH(I$2,'Budget révisé'!$A$2:$AO$2,0))</f>
        <v>0</v>
      </c>
      <c r="J161" s="303"/>
      <c r="K161" s="178"/>
      <c r="L161" s="554">
        <f>-SUMIFS(BV_Data_An_Cour!$O:$O,BV_Data_An_Cour!$U:$U,$B161,BV_Data_An_Cour!$V:$V,$C161,BV_Data_An_Cour!$W:$W,$L$2)</f>
        <v>0</v>
      </c>
      <c r="M161" s="303"/>
      <c r="N161" s="304">
        <f t="shared" si="105"/>
        <v>0</v>
      </c>
      <c r="O161" s="303"/>
      <c r="P161" s="178"/>
      <c r="Q161" s="180">
        <f>-SUMIFS(BV_Data_An_Prec!$O:$O,BV_Data_An_Prec!$U:$U,$B161,BV_Data_An_Prec!$V:$V,$C161,BV_Data_An_Prec!$W:$W,$L$2)</f>
        <v>0</v>
      </c>
      <c r="R161" s="303"/>
      <c r="S161" s="199">
        <f t="shared" si="106"/>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11430.713396640196</v>
      </c>
      <c r="G162" s="42"/>
      <c r="H162" s="40"/>
      <c r="I162" s="41">
        <f>+SUM(I155:I161)</f>
        <v>11430.713396640196</v>
      </c>
      <c r="J162" s="42"/>
      <c r="K162" s="40"/>
      <c r="L162" s="41">
        <f>+SUM(L155:L161)</f>
        <v>14309</v>
      </c>
      <c r="M162" s="44"/>
      <c r="N162" s="41">
        <f>SUM(N157:N157)</f>
        <v>0</v>
      </c>
      <c r="O162" s="42"/>
      <c r="P162" s="40"/>
      <c r="Q162" s="41">
        <f>+SUM(Q155:Q161)</f>
        <v>14658</v>
      </c>
      <c r="R162" s="44"/>
      <c r="S162" s="316">
        <f>+SUM(S155:S161)</f>
        <v>-349</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19075.839420131357</v>
      </c>
      <c r="G164" s="344"/>
      <c r="H164" s="342"/>
      <c r="I164" s="343">
        <f>I107-I154+I162</f>
        <v>19075.839420131357</v>
      </c>
      <c r="J164" s="345"/>
      <c r="K164" s="346"/>
      <c r="L164" s="343">
        <f>L107-L154+L162</f>
        <v>80780.792000000118</v>
      </c>
      <c r="M164" s="345"/>
      <c r="N164" s="343">
        <f>L164-I164</f>
        <v>61704.952579868761</v>
      </c>
      <c r="O164" s="345"/>
      <c r="P164" s="346"/>
      <c r="Q164" s="343">
        <f>Q107-Q154+Q162</f>
        <v>25127.112000000008</v>
      </c>
      <c r="R164" s="345"/>
      <c r="S164" s="347">
        <f>L164-Q164</f>
        <v>55653.680000000109</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Juillet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61" t="s">
        <v>77</v>
      </c>
      <c r="E169" s="1162"/>
      <c r="F169" s="1163"/>
      <c r="G169" s="1164" t="s">
        <v>145</v>
      </c>
      <c r="H169" s="1162"/>
      <c r="I169" s="1163"/>
      <c r="J169" s="1164" t="s">
        <v>79</v>
      </c>
      <c r="K169" s="1162"/>
      <c r="L169" s="1163"/>
      <c r="M169" s="1164" t="s">
        <v>80</v>
      </c>
      <c r="N169" s="1163"/>
      <c r="O169" s="1161" t="s">
        <v>81</v>
      </c>
      <c r="P169" s="1162"/>
      <c r="Q169" s="1163"/>
      <c r="R169" s="1164" t="s">
        <v>82</v>
      </c>
      <c r="S169" s="1165"/>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7">+B170&amp;C170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7"/>
        <v>ServiceM/O Client</v>
      </c>
      <c r="B171" s="24" t="s">
        <v>155</v>
      </c>
      <c r="C171" s="264" t="s">
        <v>159</v>
      </c>
      <c r="D171" s="178">
        <f>+INDEX('Budget original'!$A$2:$AO$496,MATCH($A171,'Budget original'!$A$2:$A$496,0),MATCH(D$2,'Budget original'!$A$2:$AO$2,0))</f>
        <v>369.57520889424842</v>
      </c>
      <c r="E171" s="197">
        <f>+INDEX('Budget original'!$A$2:$AO$496,MATCH($A171,'Budget original'!$A$2:$A$496,0),MATCH(E$2,'Budget original'!$A$2:$AO$2,0))</f>
        <v>90707.979661855235</v>
      </c>
      <c r="F171" s="197">
        <f>+INDEX('Budget original'!$A$2:$AO$496,MATCH($A171,'Budget original'!$A$2:$A$496,0),MATCH(F$2,'Budget original'!$A$2:$AO$2,0))</f>
        <v>68076.876936082044</v>
      </c>
      <c r="G171" s="348">
        <f>+INDEX('Budget révisé'!$A$2:$AO$496,MATCH($A171,'Budget révisé'!$A$2:$A$496,0),MATCH(G$2,'Budget révisé'!$A$2:$AO$2,0))</f>
        <v>369.57520889424842</v>
      </c>
      <c r="H171" s="197">
        <f>+INDEX('Budget révisé'!$A$2:$AO$496,MATCH($A171,'Budget révisé'!$A$2:$A$496,0),MATCH(H$2,'Budget révisé'!$A$2:$AO$2,0))</f>
        <v>90707.979661855235</v>
      </c>
      <c r="I171" s="197">
        <f>+INDEX('Budget révisé'!$A$2:$AO$496,MATCH($A171,'Budget révisé'!$A$2:$A$496,0),MATCH(I$2,'Budget révisé'!$A$2:$AO$2,0))</f>
        <v>68076.876936082044</v>
      </c>
      <c r="J171" s="325">
        <f>-SUMIFS(BV_Data_An_Cour!$O:$O,BV_Data_An_Cour!$U:$U,$B171,BV_Data_An_Cour!$V:$V,$C171,BV_Data_An_Cour!$W:$W,J$2)</f>
        <v>328</v>
      </c>
      <c r="K171" s="179">
        <f>-SUMIFS(BV_Data_An_Cour!$O:$O,BV_Data_An_Cour!$X:$X,"Oui",BV_Data_An_Cour!$U:$U,$B171,BV_Data_An_Cour!$V:$V,$C171)</f>
        <v>75569.03</v>
      </c>
      <c r="L171" s="180">
        <f>-SUMIFS(BV_Data_An_Cour!$O:$O,BV_Data_An_Cour!$U:$U,$B171,BV_Data_An_Cour!$V:$V,$C171,BV_Data_An_Cour!$W:$W,$L$2)</f>
        <v>59006.14</v>
      </c>
      <c r="M171" s="324">
        <f>(K171-H171)/H171</f>
        <v>-0.1668976612453591</v>
      </c>
      <c r="N171" s="304">
        <f>L171-I171</f>
        <v>-9070.7369360820448</v>
      </c>
      <c r="O171" s="325">
        <f>-SUMIFS(BV_Data_An_Prec!$O:$O,BV_Data_An_Prec!$U:$U,$B171,BV_Data_An_Prec!$V:$V,$C171,BV_Data_An_Prec!$W:$W,O$2)</f>
        <v>358</v>
      </c>
      <c r="P171" s="179">
        <f>-SUMIFS(BV_Data_An_Prec!$O:$O,BV_Data_An_Prec!$X:$X,"Oui",BV_Data_An_Prec!$U:$U,$B171,BV_Data_An_Prec!$V:$V,$C171)</f>
        <v>88531.199999999997</v>
      </c>
      <c r="Q171" s="180">
        <f>-SUMIFS(BV_Data_An_Prec!$O:$O,BV_Data_An_Prec!$U:$U,$B171,BV_Data_An_Prec!$V:$V,$C171,BV_Data_An_Prec!$W:$W,$L$2)</f>
        <v>65636.41</v>
      </c>
      <c r="R171" s="324">
        <f>IF(O171=0,0,J171/O171)</f>
        <v>0.91620111731843579</v>
      </c>
      <c r="S171" s="199">
        <f>L171-Q171</f>
        <v>-6630.2700000000041</v>
      </c>
      <c r="T171" s="229"/>
      <c r="U171" s="222">
        <f>K171*I172</f>
        <v>56715.005390561826</v>
      </c>
      <c r="V171" s="978">
        <f>U171-L171</f>
        <v>-2291.1346094381734</v>
      </c>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7"/>
        <v>Service% profit / ventes</v>
      </c>
      <c r="B172" s="24" t="s">
        <v>155</v>
      </c>
      <c r="C172" s="264" t="s">
        <v>160</v>
      </c>
      <c r="D172" s="178"/>
      <c r="E172" s="349"/>
      <c r="F172" s="350">
        <f>F171/E171</f>
        <v>0.75050593332429738</v>
      </c>
      <c r="G172" s="303"/>
      <c r="H172" s="349"/>
      <c r="I172" s="350">
        <f>I171/H171</f>
        <v>0.75050593332429738</v>
      </c>
      <c r="J172" s="325"/>
      <c r="K172" s="178"/>
      <c r="L172" s="350">
        <f>IF(L171=0,0,L171/K171)</f>
        <v>0.78082436680740774</v>
      </c>
      <c r="M172" s="324"/>
      <c r="N172" s="304"/>
      <c r="O172" s="325"/>
      <c r="P172" s="178"/>
      <c r="Q172" s="350">
        <f>IF(Q171=0,0,Q171/P171)</f>
        <v>0.74139297784283964</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7"/>
        <v>Service</v>
      </c>
      <c r="B173" s="24" t="s">
        <v>155</v>
      </c>
      <c r="C173" s="326"/>
      <c r="D173" s="308"/>
      <c r="E173" s="358">
        <f t="shared" ref="E173" si="108">IFERROR(E171/D171,0)</f>
        <v>245.43848580441644</v>
      </c>
      <c r="F173" s="359"/>
      <c r="G173" s="310"/>
      <c r="H173" s="358">
        <f t="shared" ref="H173" si="109">IFERROR(H171/G171,0)</f>
        <v>245.43848580441644</v>
      </c>
      <c r="I173" s="359"/>
      <c r="J173" s="339"/>
      <c r="K173" s="573">
        <f t="shared" ref="K173" si="110">IFERROR(K171/J171,0)</f>
        <v>230.39338414634145</v>
      </c>
      <c r="L173" s="359"/>
      <c r="M173" s="361"/>
      <c r="N173" s="311"/>
      <c r="O173" s="339"/>
      <c r="P173" s="573">
        <f t="shared" ref="P173" si="111">IFERROR(P171/O171,0)</f>
        <v>247.29385474860334</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7"/>
        <v>ServiceM/O Garantie</v>
      </c>
      <c r="B174" s="24" t="s">
        <v>155</v>
      </c>
      <c r="C174" s="351" t="s">
        <v>161</v>
      </c>
      <c r="D174" s="357">
        <f>+INDEX('Budget original'!$A$2:$AO$496,MATCH($A174,'Budget original'!$A$2:$A$496,0),MATCH(D$2,'Budget original'!$A$2:$AO$2,0))</f>
        <v>430.29789831374308</v>
      </c>
      <c r="E174" s="197">
        <f>+INDEX('Budget original'!$A$2:$AO$496,MATCH($A174,'Budget original'!$A$2:$A$496,0),MATCH(E$2,'Budget original'!$A$2:$AO$2,0))</f>
        <v>76048.26984037504</v>
      </c>
      <c r="F174" s="197">
        <f>+INDEX('Budget original'!$A$2:$AO$496,MATCH($A174,'Budget original'!$A$2:$A$496,0),MATCH(F$2,'Budget original'!$A$2:$AO$2,0))</f>
        <v>53094.189524096088</v>
      </c>
      <c r="G174" s="354">
        <f>+INDEX('Budget révisé'!$A$2:$AO$496,MATCH($A174,'Budget révisé'!$A$2:$A$496,0),MATCH(G$2,'Budget révisé'!$A$2:$AO$2,0))</f>
        <v>430.29789831374308</v>
      </c>
      <c r="H174" s="197">
        <f>+INDEX('Budget révisé'!$A$2:$AO$496,MATCH($A174,'Budget révisé'!$A$2:$A$496,0),MATCH(H$2,'Budget révisé'!$A$2:$AO$2,0))</f>
        <v>76048.26984037504</v>
      </c>
      <c r="I174" s="197">
        <f>+INDEX('Budget révisé'!$A$2:$AO$496,MATCH($A174,'Budget révisé'!$A$2:$A$496,0),MATCH(I$2,'Budget révisé'!$A$2:$AO$2,0))</f>
        <v>53094.189524096088</v>
      </c>
      <c r="J174" s="354">
        <f>-SUMIFS(BV_Data_An_Cour!$O:$O,BV_Data_An_Cour!$U:$U,$B174,BV_Data_An_Cour!$V:$V,$C174,BV_Data_An_Cour!$W:$W,J$2)</f>
        <v>185</v>
      </c>
      <c r="K174" s="186">
        <f>-SUMIFS(BV_Data_An_Cour!$O:$O,BV_Data_An_Cour!$X:$X,"Oui",BV_Data_An_Cour!$U:$U,$B174,BV_Data_An_Cour!$V:$V,$C174)</f>
        <v>44854.55</v>
      </c>
      <c r="L174" s="180">
        <f>-SUMIFS(BV_Data_An_Cour!$O:$O,BV_Data_An_Cour!$U:$U,$B174,BV_Data_An_Cour!$V:$V,$C174,BV_Data_An_Cour!$W:$W,$L$2)</f>
        <v>32446.370000000003</v>
      </c>
      <c r="M174" s="324">
        <f>(K174-H174)/H174</f>
        <v>-0.41018316269193905</v>
      </c>
      <c r="N174" s="356">
        <f>L174-I174</f>
        <v>-20647.819524096085</v>
      </c>
      <c r="O174" s="354">
        <f>-SUMIFS(BV_Data_An_Prec!$O:$O,BV_Data_An_Prec!$U:$U,$B174,BV_Data_An_Prec!$V:$V,$C174,BV_Data_An_Prec!$W:$W,O$2)</f>
        <v>412</v>
      </c>
      <c r="P174" s="186">
        <f>-SUMIFS(BV_Data_An_Prec!$O:$O,BV_Data_An_Prec!$X:$X,"Oui",BV_Data_An_Prec!$U:$U,$B174,BV_Data_An_Prec!$V:$V,$C174)</f>
        <v>85164.4</v>
      </c>
      <c r="Q174" s="180">
        <f>-SUMIFS(BV_Data_An_Prec!$O:$O,BV_Data_An_Prec!$U:$U,$B174,BV_Data_An_Prec!$V:$V,$C174,BV_Data_An_Prec!$W:$W,$L$2)</f>
        <v>61383.01999999999</v>
      </c>
      <c r="R174" s="324">
        <f>IF(O174=0,0,J174/O174)</f>
        <v>0.44902912621359226</v>
      </c>
      <c r="S174" s="199">
        <f>L174-Q174</f>
        <v>-28936.649999999987</v>
      </c>
      <c r="T174" s="229"/>
      <c r="U174" s="222">
        <f>K174*I175</f>
        <v>31315.846944537134</v>
      </c>
      <c r="V174" s="978">
        <f>U174-L174</f>
        <v>-1130.5230554628688</v>
      </c>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7"/>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0.72336853228936637</v>
      </c>
      <c r="M175" s="362"/>
      <c r="N175" s="332"/>
      <c r="O175" s="303"/>
      <c r="P175" s="178"/>
      <c r="Q175" s="350">
        <f>IF(Q174=0,0,Q174/P174)</f>
        <v>0.72075914349188153</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7"/>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7"/>
        <v>ServiceM/O Interne</v>
      </c>
      <c r="B177" s="24" t="s">
        <v>155</v>
      </c>
      <c r="C177" s="264" t="s">
        <v>162</v>
      </c>
      <c r="D177" s="178">
        <f>+INDEX('Budget original'!$A$2:$AO$496,MATCH($A177,'Budget original'!$A$2:$A$496,0),MATCH(D$2,'Budget original'!$A$2:$AO$2,0))</f>
        <v>240.42736984044527</v>
      </c>
      <c r="E177" s="197">
        <f>+INDEX('Budget original'!$A$2:$AO$496,MATCH($A177,'Budget original'!$A$2:$A$496,0),MATCH(E$2,'Budget original'!$A$2:$AO$2,0))</f>
        <v>56698.105191939605</v>
      </c>
      <c r="F177" s="197">
        <f>+INDEX('Budget original'!$A$2:$AO$496,MATCH($A177,'Budget original'!$A$2:$A$496,0),MATCH(F$2,'Budget original'!$A$2:$AO$2,0))</f>
        <v>41572.557937194295</v>
      </c>
      <c r="G177" s="303">
        <f>+INDEX('Budget révisé'!$A$2:$AO$496,MATCH($A177,'Budget révisé'!$A$2:$A$496,0),MATCH(G$2,'Budget révisé'!$A$2:$AO$2,0))</f>
        <v>240.42736984044527</v>
      </c>
      <c r="H177" s="197">
        <f>+INDEX('Budget révisé'!$A$2:$AO$496,MATCH($A177,'Budget révisé'!$A$2:$A$496,0),MATCH(H$2,'Budget révisé'!$A$2:$AO$2,0))</f>
        <v>56698.105191939605</v>
      </c>
      <c r="I177" s="197">
        <f>+INDEX('Budget révisé'!$A$2:$AO$496,MATCH($A177,'Budget révisé'!$A$2:$A$496,0),MATCH(I$2,'Budget révisé'!$A$2:$AO$2,0))</f>
        <v>41572.557937194295</v>
      </c>
      <c r="J177" s="325">
        <f>-SUMIFS(BV_Data_An_Cour!$O:$O,BV_Data_An_Cour!$U:$U,$B177,BV_Data_An_Cour!$V:$V,$C177,BV_Data_An_Cour!$W:$W,J$2)</f>
        <v>256</v>
      </c>
      <c r="K177" s="186">
        <f>-SUMIFS(BV_Data_An_Cour!$O:$O,BV_Data_An_Cour!$X:$X,"Oui",BV_Data_An_Cour!$U:$U,$B177,BV_Data_An_Cour!$V:$V,$C177)</f>
        <v>53868.950000000004</v>
      </c>
      <c r="L177" s="180">
        <f>-SUMIFS(BV_Data_An_Cour!$O:$O,BV_Data_An_Cour!$U:$U,$B177,BV_Data_An_Cour!$V:$V,$C177,BV_Data_An_Cour!$W:$W,$L$2)</f>
        <v>41090.460000000006</v>
      </c>
      <c r="M177" s="324">
        <f>(K177-H177)/H177</f>
        <v>-4.9898584482886789E-2</v>
      </c>
      <c r="N177" s="304">
        <f t="shared" ref="N177:N178" si="112">L177-I177</f>
        <v>-482.09793719428853</v>
      </c>
      <c r="O177" s="325">
        <f>-SUMIFS(BV_Data_An_Prec!$O:$O,BV_Data_An_Prec!$U:$U,$B177,BV_Data_An_Prec!$V:$V,$C177,BV_Data_An_Prec!$W:$W,O$2)</f>
        <v>269</v>
      </c>
      <c r="P177" s="186">
        <f>-SUMIFS(BV_Data_An_Prec!$O:$O,BV_Data_An_Prec!$X:$X,"Oui",BV_Data_An_Prec!$U:$U,$B177,BV_Data_An_Prec!$V:$V,$C177)</f>
        <v>50206.68</v>
      </c>
      <c r="Q177" s="180">
        <f>-SUMIFS(BV_Data_An_Prec!$O:$O,BV_Data_An_Prec!$U:$U,$B177,BV_Data_An_Prec!$V:$V,$C177,BV_Data_An_Prec!$W:$W,$L$2)</f>
        <v>38134.729999999996</v>
      </c>
      <c r="R177" s="324">
        <f>IF(O177=0,0,J177/O177)</f>
        <v>0.95167286245353155</v>
      </c>
      <c r="S177" s="199">
        <f>L177-Q177</f>
        <v>2955.7300000000105</v>
      </c>
      <c r="T177" s="229"/>
      <c r="U177" s="222">
        <f>K177*I178</f>
        <v>39498.1461427955</v>
      </c>
      <c r="V177" s="978">
        <f>U177-L177</f>
        <v>-1592.3138572045063</v>
      </c>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7"/>
        <v>Service% profit / ventes</v>
      </c>
      <c r="B178" s="24" t="s">
        <v>155</v>
      </c>
      <c r="C178" s="264" t="s">
        <v>160</v>
      </c>
      <c r="D178" s="178"/>
      <c r="E178" s="349"/>
      <c r="F178" s="350">
        <f>F177/E177</f>
        <v>0.73322658308349242</v>
      </c>
      <c r="G178" s="303"/>
      <c r="H178" s="349"/>
      <c r="I178" s="350">
        <f>I177/H177</f>
        <v>0.73322658308349242</v>
      </c>
      <c r="J178" s="325"/>
      <c r="K178" s="349"/>
      <c r="L178" s="350">
        <f>IF(L177=0,0,L177/K177)</f>
        <v>0.76278561211978335</v>
      </c>
      <c r="M178" s="324"/>
      <c r="N178" s="304">
        <f t="shared" si="112"/>
        <v>2.9559029036290929E-2</v>
      </c>
      <c r="O178" s="325"/>
      <c r="P178" s="349"/>
      <c r="Q178" s="350">
        <f>IF(Q177=0,0,Q177/P177)</f>
        <v>0.75955490384944779</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7"/>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7"/>
        <v>ServiceM/O Esthétique</v>
      </c>
      <c r="B180" s="24" t="s">
        <v>155</v>
      </c>
      <c r="C180" s="351" t="s">
        <v>163</v>
      </c>
      <c r="D180" s="352">
        <f>+INDEX('Budget original'!$A$2:$AO$496,MATCH($A180,'Budget original'!$A$2:$A$496,0),MATCH(D$2,'Budget original'!$A$2:$AO$2,0))</f>
        <v>0</v>
      </c>
      <c r="E180" s="197">
        <f>+INDEX('Budget original'!$A$2:$AO$496,MATCH($A180,'Budget original'!$A$2:$A$496,0),MATCH(E$2,'Budget original'!$A$2:$AO$2,0))</f>
        <v>49.973780807551123</v>
      </c>
      <c r="F180" s="197">
        <f>+INDEX('Budget original'!$A$2:$AO$496,MATCH($A180,'Budget original'!$A$2:$A$496,0),MATCH(F$2,'Budget original'!$A$2:$AO$2,0))</f>
        <v>36.980597797587833</v>
      </c>
      <c r="G180" s="368">
        <f>+INDEX('Budget révisé'!$A$2:$AO$496,MATCH($A180,'Budget révisé'!$A$2:$A$496,0),MATCH(G$2,'Budget révisé'!$A$2:$AO$2,0))</f>
        <v>0</v>
      </c>
      <c r="H180" s="197">
        <f>+INDEX('Budget révisé'!$A$2:$AO$496,MATCH($A180,'Budget révisé'!$A$2:$A$496,0),MATCH(H$2,'Budget révisé'!$A$2:$AO$2,0))</f>
        <v>49.973780807551123</v>
      </c>
      <c r="I180" s="197">
        <f>+INDEX('Budget révisé'!$A$2:$AO$496,MATCH($A180,'Budget révisé'!$A$2:$A$496,0),MATCH(I$2,'Budget révisé'!$A$2:$AO$2,0))</f>
        <v>36.980597797587833</v>
      </c>
      <c r="J180" s="354">
        <f>-SUMIFS(BV_Data_An_Cour!$O:$O,BV_Data_An_Cour!$U:$U,$B180,BV_Data_An_Cour!$V:$V,$C180,BV_Data_An_Cour!$W:$W,J$2)</f>
        <v>0</v>
      </c>
      <c r="K180" s="186">
        <f>-SUMIFS(BV_Data_An_Cour!$O:$O,BV_Data_An_Cour!$X:$X,"Oui",BV_Data_An_Cour!$U:$U,$B180,BV_Data_An_Cour!$V:$V,$C180)</f>
        <v>0</v>
      </c>
      <c r="L180" s="181">
        <f>-SUMIFS(BV_Data_An_Cour!$O:$O,BV_Data_An_Cour!$U:$U,$B180,BV_Data_An_Cour!$V:$V,$C180,BV_Data_An_Cour!$W:$W,$L$2)</f>
        <v>0</v>
      </c>
      <c r="M180" s="355">
        <f>IF(H180=0,0,(K180-H180)/H180)</f>
        <v>-1</v>
      </c>
      <c r="N180" s="356">
        <f>L180-I180</f>
        <v>-36.980597797587833</v>
      </c>
      <c r="O180" s="354">
        <f>-SUMIFS(BV_Data_An_Prec!$O:$O,BV_Data_An_Prec!$U:$U,$B180,BV_Data_An_Prec!$V:$V,$C180,BV_Data_An_Prec!$W:$W,O$2)</f>
        <v>0</v>
      </c>
      <c r="P180" s="186">
        <f>-SUMIFS(BV_Data_An_Prec!$O:$O,BV_Data_An_Prec!$X:$X,"Oui",BV_Data_An_Prec!$U:$U,$B180,BV_Data_An_Prec!$V:$V,$C180)</f>
        <v>99.96</v>
      </c>
      <c r="Q180" s="181">
        <f>-SUMIFS(BV_Data_An_Prec!$O:$O,BV_Data_An_Prec!$U:$U,$B180,BV_Data_An_Prec!$V:$V,$C180,BV_Data_An_Prec!$W:$W,$L$2)</f>
        <v>86.96</v>
      </c>
      <c r="R180" s="324">
        <f>IF(O180=0,0,J180/O180)</f>
        <v>0</v>
      </c>
      <c r="S180" s="201">
        <f>L180-Q180</f>
        <v>-86.96</v>
      </c>
      <c r="T180" s="229"/>
      <c r="U180" s="222">
        <f>K180*I181</f>
        <v>0</v>
      </c>
      <c r="V180" s="978">
        <f>U180-L180</f>
        <v>0</v>
      </c>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7"/>
        <v>Service% profit / ventes</v>
      </c>
      <c r="B181" s="24" t="s">
        <v>155</v>
      </c>
      <c r="C181" s="264" t="s">
        <v>160</v>
      </c>
      <c r="D181" s="369"/>
      <c r="E181" s="370"/>
      <c r="F181" s="350">
        <f>IFERROR(F180/E180,0)</f>
        <v>0.7400000000000001</v>
      </c>
      <c r="G181" s="313"/>
      <c r="H181" s="370"/>
      <c r="I181" s="350">
        <f>IFERROR(I180/H180,0)</f>
        <v>0.7400000000000001</v>
      </c>
      <c r="J181" s="371"/>
      <c r="K181" s="370">
        <f>IF(J181&lt;=0,0,L181/J181)</f>
        <v>0</v>
      </c>
      <c r="L181" s="350">
        <f>IF(L180=0,0,L180/K180)</f>
        <v>0</v>
      </c>
      <c r="M181" s="325">
        <f>J181-G181</f>
        <v>0</v>
      </c>
      <c r="N181" s="372"/>
      <c r="O181" s="371"/>
      <c r="P181" s="370">
        <f>IF(O181&lt;=0,0,Q181/O181)</f>
        <v>0</v>
      </c>
      <c r="Q181" s="350">
        <f>IF(Q180=0,0,Q180/P180)</f>
        <v>0.86994797919167666</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7"/>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7"/>
        <v>ServiceAjustement M/O</v>
      </c>
      <c r="B183" s="24" t="s">
        <v>155</v>
      </c>
      <c r="C183" s="264" t="s">
        <v>164</v>
      </c>
      <c r="D183" s="178"/>
      <c r="E183" s="178"/>
      <c r="F183" s="304">
        <f>+INDEX('Budget original'!$A$2:$AO$496,MATCH($A183,'Budget original'!$A$2:$A$496,0),MATCH(F$2,'Budget original'!$A$2:$AO$2,0))</f>
        <v>-3947.0420261874815</v>
      </c>
      <c r="G183" s="303"/>
      <c r="H183" s="197"/>
      <c r="I183" s="197">
        <f>+INDEX('Budget révisé'!$A$2:$AO$496,MATCH($A183,'Budget révisé'!$A$2:$A$496,0),MATCH(I$2,'Budget révisé'!$A$2:$AO$2,0))</f>
        <v>-3947.0420261874815</v>
      </c>
      <c r="J183" s="325"/>
      <c r="K183" s="197"/>
      <c r="L183" s="197">
        <f>-SUMIFS(BV_Data_An_Cour!$O:$O,BV_Data_An_Cour!$U:$U,$B183,BV_Data_An_Cour!$V:$V,$C183,BV_Data_An_Cour!$W:$W,$L$2)</f>
        <v>-2113.92</v>
      </c>
      <c r="M183" s="371"/>
      <c r="N183" s="304">
        <f t="shared" ref="N183:N184" si="113">L183-I183</f>
        <v>1833.1220261874814</v>
      </c>
      <c r="O183" s="325"/>
      <c r="P183" s="197"/>
      <c r="Q183" s="180">
        <f>-SUMIFS(BV_Data_An_Prec!$O:$O,BV_Data_An_Prec!$U:$U,$B183,BV_Data_An_Prec!$V:$V,$C183,BV_Data_An_Prec!$W:$W,$L$2)</f>
        <v>-2108.6999999999998</v>
      </c>
      <c r="R183" s="209"/>
      <c r="S183" s="199">
        <f t="shared" ref="S183:S184" si="114">L183-Q183</f>
        <v>-5.2200000000002547</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7"/>
        <v>ServiceSous-total M/O</v>
      </c>
      <c r="B184" s="24" t="s">
        <v>155</v>
      </c>
      <c r="C184" s="380" t="s">
        <v>165</v>
      </c>
      <c r="D184" s="58"/>
      <c r="E184" s="58">
        <f t="shared" ref="E184:F184" si="115">E171+E174+E177+E180+E183</f>
        <v>223504.3284749774</v>
      </c>
      <c r="F184" s="59">
        <f t="shared" si="115"/>
        <v>158833.56296898253</v>
      </c>
      <c r="G184" s="60"/>
      <c r="H184" s="58">
        <f t="shared" ref="H184:I184" si="116">H171+H174+H177+H180+H183</f>
        <v>223504.3284749774</v>
      </c>
      <c r="I184" s="59">
        <f t="shared" si="116"/>
        <v>158833.56296898253</v>
      </c>
      <c r="J184" s="60">
        <f t="shared" ref="J184:L184" si="117">J171+J174+J177+J180+J183</f>
        <v>769</v>
      </c>
      <c r="K184" s="58">
        <f t="shared" si="117"/>
        <v>174292.53</v>
      </c>
      <c r="L184" s="59">
        <f t="shared" si="117"/>
        <v>130429.05000000003</v>
      </c>
      <c r="M184" s="61">
        <f>(K184-H184)/H184</f>
        <v>-0.22018275355453329</v>
      </c>
      <c r="N184" s="59">
        <f t="shared" si="113"/>
        <v>-28404.512968982497</v>
      </c>
      <c r="O184" s="60">
        <f t="shared" ref="O184:Q184" si="118">O171+O174+O177+O180+O183</f>
        <v>1039</v>
      </c>
      <c r="P184" s="58">
        <f t="shared" si="118"/>
        <v>224002.23999999996</v>
      </c>
      <c r="Q184" s="59">
        <f t="shared" si="118"/>
        <v>163132.41999999995</v>
      </c>
      <c r="R184" s="381">
        <f>IF(O184=0,0,J184/O184)</f>
        <v>0.74013474494706444</v>
      </c>
      <c r="S184" s="382">
        <f t="shared" si="114"/>
        <v>-32703.369999999923</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7"/>
        <v>Service% protit / ventes</v>
      </c>
      <c r="B185" s="24" t="s">
        <v>155</v>
      </c>
      <c r="C185" s="383" t="s">
        <v>166</v>
      </c>
      <c r="D185" s="62"/>
      <c r="E185" s="62"/>
      <c r="F185" s="63">
        <f>F184/E184</f>
        <v>0.71065094825116493</v>
      </c>
      <c r="G185" s="64"/>
      <c r="H185" s="65">
        <f>IF(G184=0,0,H184/G184)</f>
        <v>0</v>
      </c>
      <c r="I185" s="332">
        <f>I184/H184</f>
        <v>0.71065094825116493</v>
      </c>
      <c r="J185" s="64"/>
      <c r="K185" s="65">
        <f>IF(J184=0,0,K184/J184)</f>
        <v>226.64828348504551</v>
      </c>
      <c r="L185" s="332">
        <f>IF(L184=0,0,L184/K184)</f>
        <v>0.74833413686748385</v>
      </c>
      <c r="M185" s="64"/>
      <c r="N185" s="63">
        <f>N184/I184</f>
        <v>-0.17883193223166197</v>
      </c>
      <c r="O185" s="64"/>
      <c r="P185" s="65">
        <f>IF(O184=0,0,P184/O184)</f>
        <v>215.59407122232912</v>
      </c>
      <c r="Q185" s="332">
        <f>IF(Q184=0,0,Q184/P184)</f>
        <v>0.72826244951836183</v>
      </c>
      <c r="R185" s="64"/>
      <c r="S185" s="333">
        <f>IF(R184=0,0,S184/R184)</f>
        <v>-44185.697568270378</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7"/>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tr">
        <f t="shared" si="107"/>
        <v>ServiceSous-traitement</v>
      </c>
      <c r="B187" s="24" t="s">
        <v>155</v>
      </c>
      <c r="C187" s="291" t="s">
        <v>167</v>
      </c>
      <c r="D187" s="228"/>
      <c r="E187" s="228">
        <f>+INDEX('Budget original'!$A$2:$AO$496,MATCH($A187,'Budget original'!$A$2:$A$496,0),MATCH(E$2,'Budget original'!$A$2:$AO$2,0))</f>
        <v>24153.7014980233</v>
      </c>
      <c r="F187" s="228">
        <f>+INDEX('Budget original'!$A$2:$AO$496,MATCH($A187,'Budget original'!$A$2:$A$496,0),MATCH(F$2,'Budget original'!$A$2:$AO$2,0))</f>
        <v>5796.888359525592</v>
      </c>
      <c r="G187" s="230"/>
      <c r="H187" s="228">
        <f>+INDEX('Budget révisé'!$A$2:$AO$496,MATCH($A187,'Budget révisé'!$A$2:$A$496,0),MATCH(H$2,'Budget révisé'!$A$2:$AO$2,0))</f>
        <v>24153.7014980233</v>
      </c>
      <c r="I187" s="228">
        <f>+INDEX('Budget révisé'!$A$2:$AO$496,MATCH($A187,'Budget révisé'!$A$2:$A$496,0),MATCH(I$2,'Budget révisé'!$A$2:$AO$2,0))</f>
        <v>5796.888359525592</v>
      </c>
      <c r="J187" s="230"/>
      <c r="K187" s="231">
        <f>-SUMIFS(BV_Data_An_Cour!$O:$O,BV_Data_An_Cour!$X:$X,"Oui",BV_Data_An_Cour!$U:$U,$B187,BV_Data_An_Cour!$V:$V,$C187)</f>
        <v>21896.6</v>
      </c>
      <c r="L187" s="281">
        <f>-SUMIFS(BV_Data_An_Cour!$O:$O,BV_Data_An_Cour!$U:$U,$B187,BV_Data_An_Cour!$V:$V,$C187,BV_Data_An_Cour!$W:$W,$L$2)</f>
        <v>4849.619999999999</v>
      </c>
      <c r="M187" s="511">
        <f>IF(H187=0,0,(K187-H187)/H187)</f>
        <v>-9.3447436957354912E-2</v>
      </c>
      <c r="N187" s="232">
        <f>L187-I187</f>
        <v>-947.26835952559304</v>
      </c>
      <c r="O187" s="230"/>
      <c r="P187" s="231">
        <f>-SUMIFS(BV_Data_An_Prec!$O:$O,BV_Data_An_Prec!$X:$X,"Oui",BV_Data_An_Prec!$U:$U,$B187,BV_Data_An_Prec!$V:$V,$C187)</f>
        <v>34923.68</v>
      </c>
      <c r="Q187" s="281">
        <f>-SUMIFS(BV_Data_An_Prec!$O:$O,BV_Data_An_Prec!$U:$U,$B187,BV_Data_An_Prec!$V:$V,$C187,BV_Data_An_Prec!$W:$W,$L$2)</f>
        <v>8931.6200000000026</v>
      </c>
      <c r="R187" s="386">
        <f>IF(O187=0,0,J187/O187)</f>
        <v>0</v>
      </c>
      <c r="S187" s="284">
        <f>L187-Q187</f>
        <v>-4082.0000000000036</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tr">
        <f t="shared" si="107"/>
        <v>Service% profit / ventes</v>
      </c>
      <c r="B188" s="24" t="s">
        <v>155</v>
      </c>
      <c r="C188" s="291" t="s">
        <v>160</v>
      </c>
      <c r="D188" s="233"/>
      <c r="E188" s="234"/>
      <c r="F188" s="235">
        <f>IFERROR(F187/E187,0)</f>
        <v>0.24</v>
      </c>
      <c r="G188" s="227"/>
      <c r="H188" s="234"/>
      <c r="I188" s="235">
        <f>IFERROR(I187/H187,0)</f>
        <v>0.24</v>
      </c>
      <c r="J188" s="236"/>
      <c r="K188" s="237"/>
      <c r="L188" s="235">
        <f>IF(L187=0,0,L187/K187)</f>
        <v>0.22147822036297871</v>
      </c>
      <c r="M188" s="236"/>
      <c r="N188" s="238"/>
      <c r="O188" s="236"/>
      <c r="P188" s="237"/>
      <c r="Q188" s="235">
        <f>IF(Q187=0,0,Q187/P187)</f>
        <v>0.25574681705937069</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7"/>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7"/>
        <v>ServiceM.O. Recond. MCPA</v>
      </c>
      <c r="B190" s="24" t="s">
        <v>155</v>
      </c>
      <c r="C190" s="291" t="s">
        <v>168</v>
      </c>
      <c r="D190" s="233"/>
      <c r="E190" s="228">
        <f>+INDEX('Budget original'!$A$2:$AO$496,MATCH($A190,'Budget original'!$A$2:$A$496,0),MATCH(E$2,'Budget original'!$A$2:$AO$2,0))</f>
        <v>0</v>
      </c>
      <c r="F190" s="228">
        <f>+INDEX('Budget original'!$A$2:$AO$496,MATCH($A190,'Budget original'!$A$2:$A$496,0),MATCH(F$2,'Budget original'!$A$2:$AO$2,0))</f>
        <v>0</v>
      </c>
      <c r="G190" s="227"/>
      <c r="H190" s="228">
        <f>+INDEX('Budget révisé'!$A$2:$AO$496,MATCH($A190,'Budget révisé'!$A$2:$A$496,0),MATCH(H$2,'Budget révisé'!$A$2:$AO$2,0))</f>
        <v>0</v>
      </c>
      <c r="I190" s="228">
        <f>+INDEX('Budget révisé'!$A$2:$AO$496,MATCH($A190,'Budget révisé'!$A$2:$A$496,0),MATCH(I$2,'Budget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7"/>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7"/>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tr">
        <f t="shared" si="107"/>
        <v>ServiceTotal Mécanique</v>
      </c>
      <c r="B193" s="24" t="s">
        <v>155</v>
      </c>
      <c r="C193" s="269" t="s">
        <v>169</v>
      </c>
      <c r="D193" s="26"/>
      <c r="E193" s="26">
        <f t="shared" ref="E193:F193" si="119">E184+E187+E190</f>
        <v>247658.0299730007</v>
      </c>
      <c r="F193" s="28">
        <f t="shared" si="119"/>
        <v>164630.45132850812</v>
      </c>
      <c r="G193" s="29"/>
      <c r="H193" s="26">
        <f t="shared" ref="H193:I193" si="120">H184+H187+H190</f>
        <v>247658.0299730007</v>
      </c>
      <c r="I193" s="28">
        <f t="shared" si="120"/>
        <v>164630.45132850812</v>
      </c>
      <c r="J193" s="29"/>
      <c r="K193" s="26">
        <f>K184+K187+K190</f>
        <v>196189.13</v>
      </c>
      <c r="L193" s="28">
        <f t="shared" ref="L193" si="121">L184+L187+L190</f>
        <v>135278.67000000004</v>
      </c>
      <c r="M193" s="70">
        <f>L194-I194</f>
        <v>2.4782837644236055E-2</v>
      </c>
      <c r="N193" s="28">
        <f>L193-I193</f>
        <v>-29351.781328508077</v>
      </c>
      <c r="O193" s="29"/>
      <c r="P193" s="26">
        <f>P184+P187+P190</f>
        <v>258925.91999999995</v>
      </c>
      <c r="Q193" s="28">
        <f t="shared" ref="Q193" si="122">Q184+Q187+Q190</f>
        <v>172064.03999999995</v>
      </c>
      <c r="R193" s="70">
        <f>L194-Q194</f>
        <v>2.5001939030778964E-2</v>
      </c>
      <c r="S193" s="363">
        <f>L193-Q193</f>
        <v>-36785.369999999908</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tr">
        <f t="shared" si="107"/>
        <v>Service</v>
      </c>
      <c r="B194" s="24" t="s">
        <v>155</v>
      </c>
      <c r="C194" s="364"/>
      <c r="D194" s="365"/>
      <c r="E194" s="365"/>
      <c r="F194" s="34">
        <f>F193/E193</f>
        <v>0.66474909513919611</v>
      </c>
      <c r="G194" s="31"/>
      <c r="H194" s="365"/>
      <c r="I194" s="34">
        <f>I193/H193</f>
        <v>0.66474909513919611</v>
      </c>
      <c r="J194" s="31"/>
      <c r="K194" s="365"/>
      <c r="L194" s="34">
        <f>L193/K193</f>
        <v>0.68953193278343217</v>
      </c>
      <c r="M194" s="33"/>
      <c r="N194" s="34">
        <f>N193/I193</f>
        <v>-0.17828889547255586</v>
      </c>
      <c r="O194" s="31"/>
      <c r="P194" s="365"/>
      <c r="Q194" s="34">
        <f>Q193/P193</f>
        <v>0.6645299937526532</v>
      </c>
      <c r="R194" s="33"/>
      <c r="S194" s="272">
        <f>L193/S193</f>
        <v>-3.6775128264307355</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7"/>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7"/>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7"/>
        <v>ServiceSalaires cadres</v>
      </c>
      <c r="B197" s="24" t="s">
        <v>155</v>
      </c>
      <c r="C197" s="305" t="s">
        <v>112</v>
      </c>
      <c r="D197" s="178"/>
      <c r="E197" s="178"/>
      <c r="F197" s="179">
        <f>+INDEX('Budget original'!$A$2:$AO$496,MATCH($A197,'Budget original'!$A$2:$A$496,0),MATCH(F$2,'Budget original'!$A$2:$AO$2,0))</f>
        <v>12520.167657931033</v>
      </c>
      <c r="G197" s="303"/>
      <c r="H197" s="178"/>
      <c r="I197" s="179">
        <f>+INDEX('Budget révisé'!$A$2:$AO$496,MATCH($A197,'Budget révisé'!$A$2:$A$496,0),MATCH(I$2,'Budget révisé'!$A$2:$AO$2,0))</f>
        <v>12520.167657931033</v>
      </c>
      <c r="J197" s="303"/>
      <c r="K197" s="178"/>
      <c r="L197" s="180">
        <f>SUMIFS(BV_Data_An_Cour!$O:$O,BV_Data_An_Cour!$U:$U,$B197,BV_Data_An_Cour!$V:$V,$C197,BV_Data_An_Cour!$W:$W,$L$2)</f>
        <v>8478.41</v>
      </c>
      <c r="M197" s="303"/>
      <c r="N197" s="304">
        <f t="shared" ref="N197:N208" si="123">L197-I197</f>
        <v>-4041.7576579310335</v>
      </c>
      <c r="O197" s="303"/>
      <c r="P197" s="178"/>
      <c r="Q197" s="180">
        <f>SUMIFS(BV_Data_An_Prec!$O:$O,BV_Data_An_Prec!$U:$U,$B197,BV_Data_An_Prec!$V:$V,$C197,BV_Data_An_Prec!$W:$W,$L$2)</f>
        <v>10486.98</v>
      </c>
      <c r="R197" s="303"/>
      <c r="S197" s="399">
        <f>L197-Q197</f>
        <v>-2008.5699999999997</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7"/>
        <v>ServiceSalaires commis</v>
      </c>
      <c r="B198" s="24" t="s">
        <v>155</v>
      </c>
      <c r="C198" s="306" t="s">
        <v>113</v>
      </c>
      <c r="D198" s="301"/>
      <c r="E198" s="178"/>
      <c r="F198" s="177">
        <f>+INDEX('Budget original'!$A$2:$AO$496,MATCH($A198,'Budget original'!$A$2:$A$496,0),MATCH(F$2,'Budget original'!$A$2:$AO$2,0))</f>
        <v>9162.5139436321842</v>
      </c>
      <c r="G198" s="302"/>
      <c r="H198" s="178"/>
      <c r="I198" s="177">
        <f>+INDEX('Budget révisé'!$A$2:$AO$496,MATCH($A198,'Budget révisé'!$A$2:$A$496,0),MATCH(I$2,'Budget révisé'!$A$2:$AO$2,0))</f>
        <v>9162.5139436321842</v>
      </c>
      <c r="J198" s="303"/>
      <c r="K198" s="178"/>
      <c r="L198" s="180">
        <f>SUMIFS(BV_Data_An_Cour!$O:$O,BV_Data_An_Cour!$U:$U,$B198,BV_Data_An_Cour!$V:$V,$C198,BV_Data_An_Cour!$W:$W,$L$2)</f>
        <v>9894.76</v>
      </c>
      <c r="M198" s="303"/>
      <c r="N198" s="304">
        <f t="shared" si="123"/>
        <v>732.24605636781598</v>
      </c>
      <c r="O198" s="303"/>
      <c r="P198" s="178"/>
      <c r="Q198" s="180">
        <f>SUMIFS(BV_Data_An_Prec!$O:$O,BV_Data_An_Prec!$U:$U,$B198,BV_Data_An_Prec!$V:$V,$C198,BV_Data_An_Prec!$W:$W,$L$2)</f>
        <v>7262.3</v>
      </c>
      <c r="R198" s="303"/>
      <c r="S198" s="199">
        <f t="shared" ref="S198:S227" si="124">L198-Q198</f>
        <v>2632.46</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tr">
        <f t="shared" si="107"/>
        <v>ServiceSalaires autres</v>
      </c>
      <c r="B199" s="24" t="s">
        <v>155</v>
      </c>
      <c r="C199" s="305" t="s">
        <v>114</v>
      </c>
      <c r="D199" s="392"/>
      <c r="E199" s="352"/>
      <c r="F199" s="179">
        <f>+INDEX('Budget original'!$A$2:$AO$496,MATCH($A199,'Budget original'!$A$2:$A$496,0),MATCH(F$2,'Budget original'!$A$2:$AO$2,0))</f>
        <v>12376.948915567818</v>
      </c>
      <c r="G199" s="393"/>
      <c r="H199" s="352"/>
      <c r="I199" s="179">
        <f>+INDEX('Budget révisé'!$A$2:$AO$496,MATCH($A199,'Budget révisé'!$A$2:$A$496,0),MATCH(I$2,'Budget révisé'!$A$2:$AO$2,0))</f>
        <v>12376.948915567818</v>
      </c>
      <c r="J199" s="368"/>
      <c r="K199" s="352"/>
      <c r="L199" s="181">
        <f>SUMIFS(BV_Data_An_Cour!$O:$O,BV_Data_An_Cour!$U:$U,$B199,BV_Data_An_Cour!$V:$V,$C199,BV_Data_An_Cour!$W:$W,$L$2)</f>
        <v>8265.98</v>
      </c>
      <c r="M199" s="368"/>
      <c r="N199" s="356">
        <f t="shared" si="123"/>
        <v>-4110.9689155678188</v>
      </c>
      <c r="O199" s="368"/>
      <c r="P199" s="352"/>
      <c r="Q199" s="181">
        <f>SUMIFS(BV_Data_An_Prec!$O:$O,BV_Data_An_Prec!$U:$U,$B199,BV_Data_An_Prec!$V:$V,$C199,BV_Data_An_Prec!$W:$W,$L$2)</f>
        <v>8884.68</v>
      </c>
      <c r="R199" s="368"/>
      <c r="S199" s="201">
        <f t="shared" si="124"/>
        <v>-618.70000000000073</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tr">
        <f t="shared" si="107"/>
        <v>ServiceSalaires spécialistes</v>
      </c>
      <c r="B200" s="24" t="s">
        <v>155</v>
      </c>
      <c r="C200" s="305" t="s">
        <v>115</v>
      </c>
      <c r="D200" s="301"/>
      <c r="E200" s="178"/>
      <c r="F200" s="179">
        <f>+INDEX('Budget original'!$A$2:$AO$496,MATCH($A200,'Budget original'!$A$2:$A$496,0),MATCH(F$2,'Budget original'!$A$2:$AO$2,0))</f>
        <v>31130.499641379309</v>
      </c>
      <c r="G200" s="302"/>
      <c r="H200" s="178"/>
      <c r="I200" s="179">
        <f>+INDEX('Budget révisé'!$A$2:$AO$496,MATCH($A200,'Budget révisé'!$A$2:$A$496,0),MATCH(I$2,'Budget révisé'!$A$2:$AO$2,0))</f>
        <v>31130.499641379309</v>
      </c>
      <c r="J200" s="303"/>
      <c r="K200" s="178"/>
      <c r="L200" s="180">
        <f>SUMIFS(BV_Data_An_Cour!$O:$O,BV_Data_An_Cour!$U:$U,$B200,BV_Data_An_Cour!$V:$V,$C200,BV_Data_An_Cour!$W:$W,$L$2)</f>
        <v>18299.27</v>
      </c>
      <c r="M200" s="303"/>
      <c r="N200" s="304">
        <f t="shared" si="123"/>
        <v>-12831.229641379308</v>
      </c>
      <c r="O200" s="303"/>
      <c r="P200" s="178"/>
      <c r="Q200" s="180">
        <f>SUMIFS(BV_Data_An_Prec!$O:$O,BV_Data_An_Prec!$U:$U,$B200,BV_Data_An_Prec!$V:$V,$C200,BV_Data_An_Prec!$W:$W,$L$2)</f>
        <v>20101.86</v>
      </c>
      <c r="R200" s="303"/>
      <c r="S200" s="199">
        <f t="shared" si="124"/>
        <v>-1802.5900000000001</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7"/>
        <v>Service[...]</v>
      </c>
      <c r="B201" s="24" t="s">
        <v>155</v>
      </c>
      <c r="C201" s="264" t="s">
        <v>42</v>
      </c>
      <c r="D201" s="301"/>
      <c r="E201" s="178"/>
      <c r="F201" s="179">
        <f>+INDEX('Budget original'!$A$2:$AO$496,MATCH($A201,'Budget original'!$A$2:$A$496,0),MATCH(F$2,'Budget original'!$A$2:$AO$2,0))</f>
        <v>0</v>
      </c>
      <c r="G201" s="302"/>
      <c r="H201" s="178"/>
      <c r="I201" s="179">
        <f>+INDEX('Budget révisé'!$A$2:$AO$496,MATCH($A201,'Budget révisé'!$A$2:$A$496,0),MATCH(I$2,'Budget révisé'!$A$2:$AO$2,0))</f>
        <v>0</v>
      </c>
      <c r="J201" s="303"/>
      <c r="K201" s="178"/>
      <c r="L201" s="180">
        <f>SUMIFS(BV_Data_An_Cour!$O:$O,BV_Data_An_Cour!$U:$U,$B201,BV_Data_An_Cour!$V:$V,$C201,BV_Data_An_Cour!$W:$W,$L$2)</f>
        <v>0</v>
      </c>
      <c r="M201" s="303"/>
      <c r="N201" s="304">
        <f t="shared" si="123"/>
        <v>0</v>
      </c>
      <c r="O201" s="303"/>
      <c r="P201" s="178"/>
      <c r="Q201" s="180">
        <f>SUMIFS(BV_Data_An_Prec!$O:$O,BV_Data_An_Prec!$U:$U,$B201,BV_Data_An_Prec!$V:$V,$C201,BV_Data_An_Prec!$W:$W,$L$2)</f>
        <v>0</v>
      </c>
      <c r="R201" s="303"/>
      <c r="S201" s="199">
        <f t="shared" si="124"/>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7"/>
        <v>Service[...]</v>
      </c>
      <c r="B202" s="24" t="s">
        <v>155</v>
      </c>
      <c r="C202" s="264" t="s">
        <v>42</v>
      </c>
      <c r="D202" s="301"/>
      <c r="E202" s="178"/>
      <c r="F202" s="179">
        <f>+INDEX('Budget original'!$A$2:$AO$496,MATCH($A202,'Budget original'!$A$2:$A$496,0),MATCH(F$2,'Budget original'!$A$2:$AO$2,0))</f>
        <v>0</v>
      </c>
      <c r="G202" s="302"/>
      <c r="H202" s="178"/>
      <c r="I202" s="179">
        <f>+INDEX('Budget révisé'!$A$2:$AO$496,MATCH($A202,'Budget révisé'!$A$2:$A$496,0),MATCH(I$2,'Budget révisé'!$A$2:$AO$2,0))</f>
        <v>0</v>
      </c>
      <c r="J202" s="303"/>
      <c r="K202" s="178"/>
      <c r="L202" s="180">
        <f>SUMIFS(BV_Data_An_Cour!$O:$O,BV_Data_An_Cour!$U:$U,$B202,BV_Data_An_Cour!$V:$V,$C202,BV_Data_An_Cour!$W:$W,$L$2)</f>
        <v>0</v>
      </c>
      <c r="M202" s="303"/>
      <c r="N202" s="304">
        <f t="shared" si="123"/>
        <v>0</v>
      </c>
      <c r="O202" s="303"/>
      <c r="P202" s="178"/>
      <c r="Q202" s="180">
        <f>SUMIFS(BV_Data_An_Prec!$O:$O,BV_Data_An_Prec!$U:$U,$B202,BV_Data_An_Prec!$V:$V,$C202,BV_Data_An_Prec!$W:$W,$L$2)</f>
        <v>0</v>
      </c>
      <c r="R202" s="303"/>
      <c r="S202" s="199">
        <f t="shared" si="124"/>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7"/>
        <v>Service[...]</v>
      </c>
      <c r="B203" s="24" t="s">
        <v>155</v>
      </c>
      <c r="C203" s="264" t="s">
        <v>42</v>
      </c>
      <c r="D203" s="301"/>
      <c r="E203" s="178"/>
      <c r="F203" s="179">
        <f>+INDEX('Budget original'!$A$2:$AO$496,MATCH($A203,'Budget original'!$A$2:$A$496,0),MATCH(F$2,'Budget original'!$A$2:$AO$2,0))</f>
        <v>0</v>
      </c>
      <c r="G203" s="302"/>
      <c r="H203" s="178"/>
      <c r="I203" s="179">
        <f>+INDEX('Budget révisé'!$A$2:$AO$496,MATCH($A203,'Budget révisé'!$A$2:$A$496,0),MATCH(I$2,'Budget révisé'!$A$2:$AO$2,0))</f>
        <v>0</v>
      </c>
      <c r="J203" s="303"/>
      <c r="K203" s="178"/>
      <c r="L203" s="180">
        <f>SUMIFS(BV_Data_An_Cour!$O:$O,BV_Data_An_Cour!$U:$U,$B203,BV_Data_An_Cour!$V:$V,$C203,BV_Data_An_Cour!$W:$W,$L$2)</f>
        <v>0</v>
      </c>
      <c r="M203" s="303"/>
      <c r="N203" s="304">
        <f t="shared" ref="N203:N204" si="125">L203-I203</f>
        <v>0</v>
      </c>
      <c r="O203" s="303"/>
      <c r="P203" s="178"/>
      <c r="Q203" s="180">
        <f>SUMIFS(BV_Data_An_Prec!$O:$O,BV_Data_An_Prec!$U:$U,$B203,BV_Data_An_Prec!$V:$V,$C203,BV_Data_An_Prec!$W:$W,$L$2)</f>
        <v>0</v>
      </c>
      <c r="R203" s="303"/>
      <c r="S203" s="199">
        <f t="shared" ref="S203:S204" si="126">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tr">
        <f t="shared" si="107"/>
        <v>ServiceSalaires en absences</v>
      </c>
      <c r="B204" s="24" t="s">
        <v>155</v>
      </c>
      <c r="C204" s="306" t="s">
        <v>116</v>
      </c>
      <c r="D204" s="301"/>
      <c r="E204" s="178"/>
      <c r="F204" s="179">
        <f>+INDEX('Budget original'!$A$2:$AO$496,MATCH($A204,'Budget original'!$A$2:$A$496,0),MATCH(F$2,'Budget original'!$A$2:$AO$2,0))</f>
        <v>17355.961219021243</v>
      </c>
      <c r="G204" s="302"/>
      <c r="H204" s="178"/>
      <c r="I204" s="179">
        <f>+INDEX('Budget révisé'!$A$2:$AO$496,MATCH($A204,'Budget révisé'!$A$2:$A$496,0),MATCH(I$2,'Budget révisé'!$A$2:$AO$2,0))</f>
        <v>17355.961219021243</v>
      </c>
      <c r="J204" s="303"/>
      <c r="K204" s="178"/>
      <c r="L204" s="180">
        <f>SUMIFS(BV_Data_An_Cour!$O:$O,BV_Data_An_Cour!$U:$U,$B204,BV_Data_An_Cour!$V:$V,$C204,BV_Data_An_Cour!$W:$W,$L$2)</f>
        <v>14753.38</v>
      </c>
      <c r="M204" s="303"/>
      <c r="N204" s="304">
        <f t="shared" si="125"/>
        <v>-2602.5812190212437</v>
      </c>
      <c r="O204" s="303"/>
      <c r="P204" s="178"/>
      <c r="Q204" s="180">
        <f>SUMIFS(BV_Data_An_Prec!$O:$O,BV_Data_An_Prec!$U:$U,$B204,BV_Data_An_Prec!$V:$V,$C204,BV_Data_An_Prec!$W:$W,$L$2)</f>
        <v>15906.05</v>
      </c>
      <c r="R204" s="303"/>
      <c r="S204" s="199">
        <f t="shared" si="126"/>
        <v>-1152.67</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7"/>
        <v>ServiceDéduction à la source</v>
      </c>
      <c r="B205" s="24" t="s">
        <v>155</v>
      </c>
      <c r="C205" s="280" t="s">
        <v>117</v>
      </c>
      <c r="D205" s="392"/>
      <c r="E205" s="352"/>
      <c r="F205" s="429">
        <f>+INDEX('Budget original'!$A$2:$AO$496,MATCH($A205,'Budget original'!$A$2:$A$496,0),MATCH(F$2,'Budget original'!$A$2:$AO$2,0))</f>
        <v>17355.961219021243</v>
      </c>
      <c r="G205" s="393"/>
      <c r="H205" s="352"/>
      <c r="I205" s="429">
        <f>+INDEX('Budget révisé'!$A$2:$AO$496,MATCH($A205,'Budget révisé'!$A$2:$A$496,0),MATCH(I$2,'Budget révisé'!$A$2:$AO$2,0))</f>
        <v>17355.961219021243</v>
      </c>
      <c r="J205" s="368"/>
      <c r="K205" s="352"/>
      <c r="L205" s="245">
        <f>SUMIFS(BV_Data_An_Cour!$O:$O,BV_Data_An_Cour!$U:$U,$B205,BV_Data_An_Cour!$V:$V,$C205,BV_Data_An_Cour!$W:$W,$L$2)</f>
        <v>12696.33</v>
      </c>
      <c r="M205" s="368"/>
      <c r="N205" s="356">
        <f t="shared" si="123"/>
        <v>-4659.6312190212429</v>
      </c>
      <c r="O205" s="368"/>
      <c r="P205" s="352"/>
      <c r="Q205" s="181">
        <f>SUMIFS(BV_Data_An_Prec!$O:$O,BV_Data_An_Prec!$U:$U,$B205,BV_Data_An_Prec!$V:$V,$C205,BV_Data_An_Prec!$W:$W,$L$2)</f>
        <v>13130.72</v>
      </c>
      <c r="R205" s="368"/>
      <c r="S205" s="201">
        <f t="shared" si="124"/>
        <v>-434.38999999999942</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7"/>
        <v>ServiceBénéfices marginaux</v>
      </c>
      <c r="B206" s="24" t="s">
        <v>155</v>
      </c>
      <c r="C206" s="280" t="s">
        <v>118</v>
      </c>
      <c r="D206" s="301"/>
      <c r="E206" s="178"/>
      <c r="F206" s="179">
        <f>+INDEX('Budget original'!$A$2:$AO$496,MATCH($A206,'Budget original'!$A$2:$A$496,0),MATCH(F$2,'Budget original'!$A$2:$AO$2,0))</f>
        <v>12438.438873631889</v>
      </c>
      <c r="G206" s="302"/>
      <c r="H206" s="178"/>
      <c r="I206" s="179">
        <f>+INDEX('Budget révisé'!$A$2:$AO$496,MATCH($A206,'Budget révisé'!$A$2:$A$496,0),MATCH(I$2,'Budget révisé'!$A$2:$AO$2,0))</f>
        <v>12438.438873631889</v>
      </c>
      <c r="J206" s="303"/>
      <c r="K206" s="178"/>
      <c r="L206" s="180">
        <f>SUMIFS(BV_Data_An_Cour!$O:$O,BV_Data_An_Cour!$U:$U,$B206,BV_Data_An_Cour!$V:$V,$C206,BV_Data_An_Cour!$W:$W,$L$2)</f>
        <v>9099.0400000000009</v>
      </c>
      <c r="M206" s="303"/>
      <c r="N206" s="304">
        <f t="shared" si="123"/>
        <v>-3339.3988736318879</v>
      </c>
      <c r="O206" s="303"/>
      <c r="P206" s="178"/>
      <c r="Q206" s="180">
        <f>SUMIFS(BV_Data_An_Prec!$O:$O,BV_Data_An_Prec!$U:$U,$B206,BV_Data_An_Prec!$V:$V,$C206,BV_Data_An_Prec!$W:$W,$L$2)</f>
        <v>8918.69</v>
      </c>
      <c r="R206" s="303"/>
      <c r="S206" s="199">
        <f t="shared" si="124"/>
        <v>180.35000000000036</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7"/>
        <v>ServiceCsst</v>
      </c>
      <c r="B207" s="24" t="s">
        <v>155</v>
      </c>
      <c r="C207" s="280" t="s">
        <v>119</v>
      </c>
      <c r="D207" s="301"/>
      <c r="E207" s="178"/>
      <c r="F207" s="179">
        <f>+INDEX('Budget original'!$A$2:$AO$496,MATCH($A207,'Budget original'!$A$2:$A$496,0),MATCH(F$2,'Budget original'!$A$2:$AO$2,0))</f>
        <v>2892.6602031702073</v>
      </c>
      <c r="G207" s="302"/>
      <c r="H207" s="178"/>
      <c r="I207" s="179">
        <f>+INDEX('Budget révisé'!$A$2:$AO$496,MATCH($A207,'Budget révisé'!$A$2:$A$496,0),MATCH(I$2,'Budget révisé'!$A$2:$AO$2,0))</f>
        <v>2892.6602031702073</v>
      </c>
      <c r="J207" s="303"/>
      <c r="K207" s="178"/>
      <c r="L207" s="180">
        <f>SUMIFS(BV_Data_An_Cour!$O:$O,BV_Data_An_Cour!$U:$U,$B207,BV_Data_An_Cour!$V:$V,$C207,BV_Data_An_Cour!$W:$W,$L$2)</f>
        <v>2116.06</v>
      </c>
      <c r="M207" s="303"/>
      <c r="N207" s="304">
        <f t="shared" si="123"/>
        <v>-776.60020317020735</v>
      </c>
      <c r="O207" s="303"/>
      <c r="P207" s="178"/>
      <c r="Q207" s="180">
        <f>SUMIFS(BV_Data_An_Prec!$O:$O,BV_Data_An_Prec!$U:$U,$B207,BV_Data_An_Prec!$V:$V,$C207,BV_Data_An_Prec!$W:$W,$L$2)</f>
        <v>3062.83</v>
      </c>
      <c r="R207" s="303"/>
      <c r="S207" s="199">
        <f t="shared" si="124"/>
        <v>-946.77</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7"/>
        <v>Service[...]</v>
      </c>
      <c r="B208" s="24" t="s">
        <v>155</v>
      </c>
      <c r="C208" s="291" t="s">
        <v>42</v>
      </c>
      <c r="D208" s="307"/>
      <c r="E208" s="308"/>
      <c r="F208" s="179">
        <f>+INDEX('Budget original'!$A$2:$AO$496,MATCH($A208,'Budget original'!$A$2:$A$496,0),MATCH(F$2,'Budget original'!$A$2:$AO$2,0))</f>
        <v>0</v>
      </c>
      <c r="G208" s="309"/>
      <c r="H208" s="308"/>
      <c r="I208" s="179">
        <f>+INDEX('Budget révisé'!$A$2:$AO$496,MATCH($A208,'Budget révisé'!$A$2:$A$496,0),MATCH(I$2,'Budget révisé'!$A$2:$AO$2,0))</f>
        <v>0</v>
      </c>
      <c r="J208" s="310"/>
      <c r="K208" s="308"/>
      <c r="L208" s="180">
        <f>SUMIFS(BV_Data_An_Cour!$O:$O,BV_Data_An_Cour!$U:$U,$B208,BV_Data_An_Cour!$V:$V,$C208,BV_Data_An_Cour!$W:$W,$L$2)</f>
        <v>0</v>
      </c>
      <c r="M208" s="310"/>
      <c r="N208" s="311">
        <f t="shared" si="123"/>
        <v>0</v>
      </c>
      <c r="O208" s="310"/>
      <c r="P208" s="308"/>
      <c r="Q208" s="180">
        <f>SUMIFS(BV_Data_An_Prec!$O:$O,BV_Data_An_Prec!$U:$U,$B208,BV_Data_An_Prec!$V:$V,$C208,BV_Data_An_Prec!$W:$W,$L$2)</f>
        <v>0</v>
      </c>
      <c r="R208" s="310"/>
      <c r="S208" s="202">
        <f t="shared" si="124"/>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7"/>
        <v>ServiceTOTAL PERSONNEL</v>
      </c>
      <c r="B209" s="24" t="s">
        <v>155</v>
      </c>
      <c r="C209" s="298" t="s">
        <v>120</v>
      </c>
      <c r="D209" s="39" t="s">
        <v>170</v>
      </c>
      <c r="E209" s="40">
        <f>F209/F$193</f>
        <v>0.69995040858762836</v>
      </c>
      <c r="F209" s="41">
        <f>+SUM(F197:F208)</f>
        <v>115233.15167335492</v>
      </c>
      <c r="G209" s="42" t="s">
        <v>170</v>
      </c>
      <c r="H209" s="40">
        <f>I209/I$193</f>
        <v>0.69995040858762836</v>
      </c>
      <c r="I209" s="41">
        <f>+SUM(I197:I208)</f>
        <v>115233.15167335492</v>
      </c>
      <c r="J209" s="42" t="s">
        <v>170</v>
      </c>
      <c r="K209" s="40">
        <f>L209/L$193</f>
        <v>0.6180074804106217</v>
      </c>
      <c r="L209" s="41">
        <f>+SUM(L197:L208)</f>
        <v>83603.229999999981</v>
      </c>
      <c r="M209" s="43"/>
      <c r="N209" s="46">
        <f t="shared" ref="N209:N227" si="127">L209-I209</f>
        <v>-31629.92167335494</v>
      </c>
      <c r="O209" s="42" t="s">
        <v>170</v>
      </c>
      <c r="P209" s="40">
        <f>Q209/Q$193</f>
        <v>0.51000842477021946</v>
      </c>
      <c r="Q209" s="41">
        <f>+SUM(Q197:Q208)</f>
        <v>87754.11</v>
      </c>
      <c r="R209" s="43"/>
      <c r="S209" s="299">
        <f t="shared" si="124"/>
        <v>-4150.8800000000192</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7"/>
        <v>ServicePublicité 2</v>
      </c>
      <c r="B210" s="24" t="s">
        <v>155</v>
      </c>
      <c r="C210" s="550" t="s">
        <v>121</v>
      </c>
      <c r="D210" s="301"/>
      <c r="E210" s="178"/>
      <c r="F210" s="179">
        <f>+INDEX('Budget original'!$A$2:$AO$496,MATCH($A210,'Budget original'!$A$2:$A$496,0),MATCH(F$2,'Budget original'!$A$2:$AO$2,0))</f>
        <v>7073.1916666666666</v>
      </c>
      <c r="G210" s="302"/>
      <c r="H210" s="178"/>
      <c r="I210" s="179">
        <f>+INDEX('Budget révisé'!$A$2:$AO$496,MATCH($A210,'Budget révisé'!$A$2:$A$496,0),MATCH(I$2,'Budget révisé'!$A$2:$AO$2,0))</f>
        <v>7073.1916666666666</v>
      </c>
      <c r="J210" s="303"/>
      <c r="K210" s="178"/>
      <c r="L210" s="180">
        <f>SUMIFS(BV_Data_An_Cour!$O:$O,BV_Data_An_Cour!$U:$U,$B210,BV_Data_An_Cour!$V:$V,$C210,BV_Data_An_Cour!$W:$W,$L$2)</f>
        <v>6489.14</v>
      </c>
      <c r="M210" s="303"/>
      <c r="N210" s="304">
        <f t="shared" si="127"/>
        <v>-584.05166666666628</v>
      </c>
      <c r="O210" s="303"/>
      <c r="P210" s="178"/>
      <c r="Q210" s="180">
        <f>SUMIFS(BV_Data_An_Prec!$O:$O,BV_Data_An_Prec!$U:$U,$B210,BV_Data_An_Prec!$V:$V,$C210,BV_Data_An_Prec!$W:$W,$L$2)</f>
        <v>11810.63</v>
      </c>
      <c r="R210" s="303"/>
      <c r="S210" s="199">
        <f t="shared" si="124"/>
        <v>-5321.4899999999989</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7"/>
        <v>ServiceService gratuit 2</v>
      </c>
      <c r="B211" s="24" t="s">
        <v>155</v>
      </c>
      <c r="C211" s="264" t="s">
        <v>122</v>
      </c>
      <c r="D211" s="301"/>
      <c r="E211" s="178"/>
      <c r="F211" s="179">
        <f>+INDEX('Budget original'!$A$2:$AO$496,MATCH($A211,'Budget original'!$A$2:$A$496,0),MATCH(F$2,'Budget original'!$A$2:$AO$2,0))</f>
        <v>2102.8829386082739</v>
      </c>
      <c r="G211" s="302"/>
      <c r="H211" s="178"/>
      <c r="I211" s="179">
        <f>+INDEX('Budget révisé'!$A$2:$AO$496,MATCH($A211,'Budget révisé'!$A$2:$A$496,0),MATCH(I$2,'Budget révisé'!$A$2:$AO$2,0))</f>
        <v>2102.8829386082739</v>
      </c>
      <c r="J211" s="303"/>
      <c r="K211" s="178"/>
      <c r="L211" s="979">
        <f>SUMIFS(BV_Data_An_Cour!$O:$O,BV_Data_An_Cour!$U:$U,$B211,BV_Data_An_Cour!$V:$V,$C211,BV_Data_An_Cour!$W:$W,$L$2)</f>
        <v>2375.3200000000002</v>
      </c>
      <c r="M211" s="303"/>
      <c r="N211" s="304">
        <f t="shared" si="127"/>
        <v>272.43706139172627</v>
      </c>
      <c r="O211" s="303"/>
      <c r="P211" s="178"/>
      <c r="Q211" s="180">
        <f>SUMIFS(BV_Data_An_Prec!$O:$O,BV_Data_An_Prec!$U:$U,$B211,BV_Data_An_Prec!$V:$V,$C211,BV_Data_An_Prec!$W:$W,$L$2)</f>
        <v>2923.59</v>
      </c>
      <c r="R211" s="303"/>
      <c r="S211" s="199">
        <f t="shared" si="124"/>
        <v>-548.27</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7"/>
        <v>ServiceFrais véhicules de cie</v>
      </c>
      <c r="B212" s="24" t="s">
        <v>155</v>
      </c>
      <c r="C212" s="326" t="s">
        <v>123</v>
      </c>
      <c r="D212" s="307"/>
      <c r="E212" s="308"/>
      <c r="F212" s="177">
        <f>+INDEX('Budget original'!$A$2:$AO$496,MATCH($A212,'Budget original'!$A$2:$A$496,0),MATCH(F$2,'Budget original'!$A$2:$AO$2,0))</f>
        <v>16764.080000000002</v>
      </c>
      <c r="G212" s="309"/>
      <c r="H212" s="308"/>
      <c r="I212" s="177">
        <f>+INDEX('Budget révisé'!$A$2:$AO$496,MATCH($A212,'Budget révisé'!$A$2:$A$496,0),MATCH(I$2,'Budget révisé'!$A$2:$AO$2,0))</f>
        <v>16764.080000000002</v>
      </c>
      <c r="J212" s="310"/>
      <c r="K212" s="308"/>
      <c r="L212" s="180">
        <f>SUMIFS(BV_Data_An_Cour!$O:$O,BV_Data_An_Cour!$U:$U,$B212,BV_Data_An_Cour!$V:$V,$C212,BV_Data_An_Cour!$W:$W,$L$2)</f>
        <v>15745.4</v>
      </c>
      <c r="M212" s="310"/>
      <c r="N212" s="311">
        <f t="shared" si="127"/>
        <v>-1018.6800000000021</v>
      </c>
      <c r="O212" s="310"/>
      <c r="P212" s="308"/>
      <c r="Q212" s="180">
        <f>SUMIFS(BV_Data_An_Prec!$O:$O,BV_Data_An_Prec!$U:$U,$B212,BV_Data_An_Prec!$V:$V,$C212,BV_Data_An_Prec!$W:$W,$L$2)</f>
        <v>15377.04</v>
      </c>
      <c r="R212" s="310"/>
      <c r="S212" s="202">
        <f t="shared" si="124"/>
        <v>368.35999999999876</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7"/>
        <v>ServiceInformatique</v>
      </c>
      <c r="B213" s="24" t="s">
        <v>155</v>
      </c>
      <c r="C213" s="264" t="s">
        <v>124</v>
      </c>
      <c r="D213" s="301"/>
      <c r="E213" s="178"/>
      <c r="F213" s="179">
        <f>+INDEX('Budget original'!$A$2:$AO$496,MATCH($A213,'Budget original'!$A$2:$A$496,0),MATCH(F$2,'Budget original'!$A$2:$AO$2,0))</f>
        <v>4425.5472</v>
      </c>
      <c r="G213" s="302"/>
      <c r="H213" s="178"/>
      <c r="I213" s="179">
        <f>+INDEX('Budget révisé'!$A$2:$AO$496,MATCH($A213,'Budget révisé'!$A$2:$A$496,0),MATCH(I$2,'Budget révisé'!$A$2:$AO$2,0))</f>
        <v>4425.5472</v>
      </c>
      <c r="J213" s="303"/>
      <c r="K213" s="178"/>
      <c r="L213" s="181">
        <f>SUMIFS(BV_Data_An_Cour!$O:$O,BV_Data_An_Cour!$U:$U,$B213,BV_Data_An_Cour!$V:$V,$C213,BV_Data_An_Cour!$W:$W,$L$2)</f>
        <v>4256.16</v>
      </c>
      <c r="M213" s="303"/>
      <c r="N213" s="304">
        <f t="shared" si="127"/>
        <v>-169.38720000000012</v>
      </c>
      <c r="O213" s="303"/>
      <c r="P213" s="178"/>
      <c r="Q213" s="181">
        <f>SUMIFS(BV_Data_An_Prec!$O:$O,BV_Data_An_Prec!$U:$U,$B213,BV_Data_An_Prec!$V:$V,$C213,BV_Data_An_Prec!$W:$W,$L$2)</f>
        <v>3856.91</v>
      </c>
      <c r="R213" s="303"/>
      <c r="S213" s="199">
        <f t="shared" si="124"/>
        <v>399.25</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7"/>
        <v>ServiceFrais de déplacement</v>
      </c>
      <c r="B214" s="24" t="s">
        <v>155</v>
      </c>
      <c r="C214" s="264" t="s">
        <v>125</v>
      </c>
      <c r="D214" s="301"/>
      <c r="E214" s="178"/>
      <c r="F214" s="179">
        <f>+INDEX('Budget original'!$A$2:$AO$496,MATCH($A214,'Budget original'!$A$2:$A$496,0),MATCH(F$2,'Budget original'!$A$2:$AO$2,0))</f>
        <v>1197.3725999999999</v>
      </c>
      <c r="G214" s="302"/>
      <c r="H214" s="178"/>
      <c r="I214" s="179">
        <f>+INDEX('Budget révisé'!$A$2:$AO$496,MATCH($A214,'Budget révisé'!$A$2:$A$496,0),MATCH(I$2,'Budget révisé'!$A$2:$AO$2,0))</f>
        <v>1197.3725999999999</v>
      </c>
      <c r="J214" s="303"/>
      <c r="K214" s="178"/>
      <c r="L214" s="180">
        <f>SUMIFS(BV_Data_An_Cour!$O:$O,BV_Data_An_Cour!$U:$U,$B214,BV_Data_An_Cour!$V:$V,$C214,BV_Data_An_Cour!$W:$W,$L$2)</f>
        <v>839.69</v>
      </c>
      <c r="M214" s="303"/>
      <c r="N214" s="304">
        <f t="shared" si="127"/>
        <v>-357.68259999999987</v>
      </c>
      <c r="O214" s="303"/>
      <c r="P214" s="178"/>
      <c r="Q214" s="180">
        <f>SUMIFS(BV_Data_An_Prec!$O:$O,BV_Data_An_Prec!$U:$U,$B214,BV_Data_An_Prec!$V:$V,$C214,BV_Data_An_Prec!$W:$W,$L$2)</f>
        <v>1458.48</v>
      </c>
      <c r="R214" s="303"/>
      <c r="S214" s="199">
        <f t="shared" si="124"/>
        <v>-618.79</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7"/>
        <v>ServiceServices extérieurs</v>
      </c>
      <c r="B215" s="24" t="s">
        <v>155</v>
      </c>
      <c r="C215" s="326" t="s">
        <v>126</v>
      </c>
      <c r="D215" s="307"/>
      <c r="E215" s="308"/>
      <c r="F215" s="177">
        <f>+INDEX('Budget original'!$A$2:$AO$496,MATCH($A215,'Budget original'!$A$2:$A$496,0),MATCH(F$2,'Budget original'!$A$2:$AO$2,0))</f>
        <v>3513.5209999999993</v>
      </c>
      <c r="G215" s="309"/>
      <c r="H215" s="308"/>
      <c r="I215" s="177">
        <f>+INDEX('Budget révisé'!$A$2:$AO$496,MATCH($A215,'Budget révisé'!$A$2:$A$496,0),MATCH(I$2,'Budget révisé'!$A$2:$AO$2,0))</f>
        <v>3513.5209999999993</v>
      </c>
      <c r="J215" s="310"/>
      <c r="K215" s="308"/>
      <c r="L215" s="180">
        <f>SUMIFS(BV_Data_An_Cour!$O:$O,BV_Data_An_Cour!$U:$U,$B215,BV_Data_An_Cour!$V:$V,$C215,BV_Data_An_Cour!$W:$W,$L$2)</f>
        <v>2374.9</v>
      </c>
      <c r="M215" s="310"/>
      <c r="N215" s="311">
        <f t="shared" si="127"/>
        <v>-1138.6209999999992</v>
      </c>
      <c r="O215" s="310"/>
      <c r="P215" s="308"/>
      <c r="Q215" s="180">
        <f>SUMIFS(BV_Data_An_Prec!$O:$O,BV_Data_An_Prec!$U:$U,$B215,BV_Data_An_Prec!$V:$V,$C215,BV_Data_An_Prec!$W:$W,$L$2)</f>
        <v>12663.96</v>
      </c>
      <c r="R215" s="310"/>
      <c r="S215" s="202">
        <f t="shared" si="124"/>
        <v>-10289.06</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tr">
        <f t="shared" ref="A216" si="128">+B216&amp;C216</f>
        <v>ServiceFournitures d'atelier</v>
      </c>
      <c r="B216" s="24" t="s">
        <v>155</v>
      </c>
      <c r="C216" s="264" t="s">
        <v>1996</v>
      </c>
      <c r="D216" s="301"/>
      <c r="E216" s="178"/>
      <c r="F216" s="179"/>
      <c r="G216" s="302"/>
      <c r="H216" s="178"/>
      <c r="I216" s="179"/>
      <c r="J216" s="303"/>
      <c r="K216" s="178"/>
      <c r="L216" s="181">
        <f>SUMIFS(BV_Data_An_Cour!$O:$O,BV_Data_An_Cour!$U:$U,$B216,BV_Data_An_Cour!$V:$V,$C216,BV_Data_An_Cour!$W:$W,$L$2)</f>
        <v>0</v>
      </c>
      <c r="M216" s="303"/>
      <c r="N216" s="304">
        <f t="shared" ref="N216" si="129">L216-I216</f>
        <v>0</v>
      </c>
      <c r="O216" s="303"/>
      <c r="P216" s="178"/>
      <c r="Q216" s="181">
        <f>SUMIFS(BV_Data_An_Prec!$O:$O,BV_Data_An_Prec!$U:$U,$B216,BV_Data_An_Prec!$V:$V,$C216,BV_Data_An_Prec!$W:$W,$L$2)</f>
        <v>0</v>
      </c>
      <c r="R216" s="303"/>
      <c r="S216" s="199">
        <f t="shared" ref="S216" si="130">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7"/>
        <v>ServiceFournitures autres</v>
      </c>
      <c r="B217" s="24" t="s">
        <v>155</v>
      </c>
      <c r="C217" s="264" t="s">
        <v>127</v>
      </c>
      <c r="D217" s="301"/>
      <c r="E217" s="178"/>
      <c r="F217" s="179">
        <f>+INDEX('Budget original'!$A$2:$AO$496,MATCH($A217,'Budget original'!$A$2:$A$496,0),MATCH(F$2,'Budget original'!$A$2:$AO$2,0))</f>
        <v>572</v>
      </c>
      <c r="G217" s="302"/>
      <c r="H217" s="178"/>
      <c r="I217" s="179">
        <f>+INDEX('Budget révisé'!$A$2:$AO$496,MATCH($A217,'Budget révisé'!$A$2:$A$496,0),MATCH(I$2,'Budget révisé'!$A$2:$AO$2,0))</f>
        <v>572</v>
      </c>
      <c r="J217" s="303"/>
      <c r="K217" s="178"/>
      <c r="L217" s="180">
        <f>SUMIFS(BV_Data_An_Cour!$O:$O,BV_Data_An_Cour!$U:$U,$B217,BV_Data_An_Cour!$V:$V,$C217,BV_Data_An_Cour!$W:$W,$L$2)</f>
        <v>-740.84</v>
      </c>
      <c r="M217" s="303"/>
      <c r="N217" s="304">
        <f t="shared" si="127"/>
        <v>-1312.8400000000001</v>
      </c>
      <c r="O217" s="303"/>
      <c r="P217" s="178"/>
      <c r="Q217" s="180">
        <f>SUMIFS(BV_Data_An_Prec!$O:$O,BV_Data_An_Prec!$U:$U,$B217,BV_Data_An_Prec!$V:$V,$C217,BV_Data_An_Prec!$W:$W,$L$2)</f>
        <v>440</v>
      </c>
      <c r="R217" s="303"/>
      <c r="S217" s="199">
        <f t="shared" si="124"/>
        <v>-1180.8400000000001</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7"/>
        <v>ServiceUniformes</v>
      </c>
      <c r="B218" s="24" t="s">
        <v>155</v>
      </c>
      <c r="C218" s="264" t="s">
        <v>128</v>
      </c>
      <c r="D218" s="301"/>
      <c r="E218" s="178"/>
      <c r="F218" s="179">
        <f>+INDEX('Budget original'!$A$2:$AO$496,MATCH($A218,'Budget original'!$A$2:$A$496,0),MATCH(F$2,'Budget original'!$A$2:$AO$2,0))</f>
        <v>1300</v>
      </c>
      <c r="G218" s="302"/>
      <c r="H218" s="178"/>
      <c r="I218" s="179">
        <f>+INDEX('Budget révisé'!$A$2:$AO$496,MATCH($A218,'Budget révisé'!$A$2:$A$496,0),MATCH(I$2,'Budget révisé'!$A$2:$AO$2,0))</f>
        <v>1300</v>
      </c>
      <c r="J218" s="303"/>
      <c r="K218" s="178"/>
      <c r="L218" s="180">
        <f>SUMIFS(BV_Data_An_Cour!$O:$O,BV_Data_An_Cour!$U:$U,$B218,BV_Data_An_Cour!$V:$V,$C218,BV_Data_An_Cour!$W:$W,$L$2)</f>
        <v>425.65</v>
      </c>
      <c r="M218" s="303"/>
      <c r="N218" s="304">
        <f t="shared" si="127"/>
        <v>-874.35</v>
      </c>
      <c r="O218" s="303"/>
      <c r="P218" s="178"/>
      <c r="Q218" s="180">
        <f>SUMIFS(BV_Data_An_Prec!$O:$O,BV_Data_An_Prec!$U:$U,$B218,BV_Data_An_Prec!$V:$V,$C218,BV_Data_An_Prec!$W:$W,$L$2)</f>
        <v>1300</v>
      </c>
      <c r="R218" s="303"/>
      <c r="S218" s="199">
        <f t="shared" si="124"/>
        <v>-874.35</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7"/>
        <v>ServicePapeterie</v>
      </c>
      <c r="B219" s="24" t="s">
        <v>155</v>
      </c>
      <c r="C219" s="264" t="s">
        <v>129</v>
      </c>
      <c r="D219" s="301"/>
      <c r="E219" s="178"/>
      <c r="F219" s="179">
        <f>+INDEX('Budget original'!$A$2:$AO$496,MATCH($A219,'Budget original'!$A$2:$A$496,0),MATCH(F$2,'Budget original'!$A$2:$AO$2,0))</f>
        <v>523.19999999999993</v>
      </c>
      <c r="G219" s="302"/>
      <c r="H219" s="178"/>
      <c r="I219" s="179">
        <f>+INDEX('Budget révisé'!$A$2:$AO$496,MATCH($A219,'Budget révisé'!$A$2:$A$496,0),MATCH(I$2,'Budget révisé'!$A$2:$AO$2,0))</f>
        <v>523.19999999999993</v>
      </c>
      <c r="J219" s="303"/>
      <c r="K219" s="178"/>
      <c r="L219" s="554">
        <f>SUMIFS(BV_Data_An_Cour!$O:$O,BV_Data_An_Cour!$U:$U,$B219,BV_Data_An_Cour!$V:$V,$C219,BV_Data_An_Cour!$W:$W,$L$2)</f>
        <v>349.99</v>
      </c>
      <c r="M219" s="303"/>
      <c r="N219" s="304">
        <f t="shared" si="127"/>
        <v>-173.20999999999992</v>
      </c>
      <c r="O219" s="303"/>
      <c r="P219" s="178"/>
      <c r="Q219" s="554">
        <f>SUMIFS(BV_Data_An_Prec!$O:$O,BV_Data_An_Prec!$U:$U,$B219,BV_Data_An_Prec!$V:$V,$C219,BV_Data_An_Prec!$W:$W,$L$2)</f>
        <v>444</v>
      </c>
      <c r="R219" s="303"/>
      <c r="S219" s="199">
        <f t="shared" si="124"/>
        <v>-94.009999999999991</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7"/>
        <v>ServiceTéléphone</v>
      </c>
      <c r="B220" s="24" t="s">
        <v>155</v>
      </c>
      <c r="C220" s="264" t="s">
        <v>130</v>
      </c>
      <c r="D220" s="301"/>
      <c r="E220" s="178"/>
      <c r="F220" s="179">
        <f>+INDEX('Budget original'!$A$2:$AO$496,MATCH($A220,'Budget original'!$A$2:$A$496,0),MATCH(F$2,'Budget original'!$A$2:$AO$2,0))</f>
        <v>461.18399999999997</v>
      </c>
      <c r="G220" s="302"/>
      <c r="H220" s="178"/>
      <c r="I220" s="179">
        <f>+INDEX('Budget révisé'!$A$2:$AO$496,MATCH($A220,'Budget révisé'!$A$2:$A$496,0),MATCH(I$2,'Budget révisé'!$A$2:$AO$2,0))</f>
        <v>461.18399999999997</v>
      </c>
      <c r="J220" s="303"/>
      <c r="K220" s="178"/>
      <c r="L220" s="281">
        <f>SUMIFS(BV_Data_An_Cour!$O:$O,BV_Data_An_Cour!$U:$U,$B220,BV_Data_An_Cour!$V:$V,$C220,BV_Data_An_Cour!$W:$W,$L$2)</f>
        <v>104.35</v>
      </c>
      <c r="M220" s="303"/>
      <c r="N220" s="304">
        <f t="shared" si="127"/>
        <v>-356.83399999999995</v>
      </c>
      <c r="O220" s="303"/>
      <c r="P220" s="178"/>
      <c r="Q220" s="180">
        <f>SUMIFS(BV_Data_An_Prec!$O:$O,BV_Data_An_Prec!$U:$U,$B220,BV_Data_An_Prec!$V:$V,$C220,BV_Data_An_Prec!$W:$W,$L$2)</f>
        <v>492.41</v>
      </c>
      <c r="R220" s="303"/>
      <c r="S220" s="199">
        <f t="shared" si="124"/>
        <v>-388.06000000000006</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7"/>
        <v>ServiceFrais postaux</v>
      </c>
      <c r="B221" s="24" t="s">
        <v>155</v>
      </c>
      <c r="C221" s="264" t="s">
        <v>131</v>
      </c>
      <c r="D221" s="301"/>
      <c r="E221" s="178"/>
      <c r="F221" s="179">
        <f>+INDEX('Budget original'!$A$2:$AO$496,MATCH($A221,'Budget original'!$A$2:$A$496,0),MATCH(F$2,'Budget original'!$A$2:$AO$2,0))</f>
        <v>207.6</v>
      </c>
      <c r="G221" s="302"/>
      <c r="H221" s="178"/>
      <c r="I221" s="179">
        <f>+INDEX('Budget révisé'!$A$2:$AO$496,MATCH($A221,'Budget révisé'!$A$2:$A$496,0),MATCH(I$2,'Budget révisé'!$A$2:$AO$2,0))</f>
        <v>207.6</v>
      </c>
      <c r="J221" s="303"/>
      <c r="K221" s="178"/>
      <c r="L221" s="281">
        <f>SUMIFS(BV_Data_An_Cour!$O:$O,BV_Data_An_Cour!$U:$U,$B221,BV_Data_An_Cour!$V:$V,$C221,BV_Data_An_Cour!$W:$W,$L$2)</f>
        <v>197.4</v>
      </c>
      <c r="M221" s="303"/>
      <c r="N221" s="304">
        <f t="shared" si="127"/>
        <v>-10.199999999999989</v>
      </c>
      <c r="O221" s="303"/>
      <c r="P221" s="178"/>
      <c r="Q221" s="180">
        <f>SUMIFS(BV_Data_An_Prec!$O:$O,BV_Data_An_Prec!$U:$U,$B221,BV_Data_An_Prec!$V:$V,$C221,BV_Data_An_Prec!$W:$W,$L$2)</f>
        <v>97.86</v>
      </c>
      <c r="R221" s="303"/>
      <c r="S221" s="199">
        <f t="shared" si="124"/>
        <v>99.54</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7"/>
        <v>ServiceDivers</v>
      </c>
      <c r="B222" s="24" t="s">
        <v>155</v>
      </c>
      <c r="C222" s="264" t="s">
        <v>132</v>
      </c>
      <c r="D222" s="301"/>
      <c r="E222" s="178"/>
      <c r="F222" s="179">
        <f>+INDEX('Budget original'!$A$2:$AO$496,MATCH($A222,'Budget original'!$A$2:$A$496,0),MATCH(F$2,'Budget original'!$A$2:$AO$2,0))</f>
        <v>961.83999999999992</v>
      </c>
      <c r="G222" s="302"/>
      <c r="H222" s="178"/>
      <c r="I222" s="179">
        <f>+INDEX('Budget révisé'!$A$2:$AO$496,MATCH($A222,'Budget révisé'!$A$2:$A$496,0),MATCH(I$2,'Budget révisé'!$A$2:$AO$2,0))</f>
        <v>961.83999999999992</v>
      </c>
      <c r="J222" s="303"/>
      <c r="K222" s="178"/>
      <c r="L222" s="281">
        <f>SUMIFS(BV_Data_An_Cour!$O:$O,BV_Data_An_Cour!$U:$U,$B222,BV_Data_An_Cour!$V:$V,$C222,BV_Data_An_Cour!$W:$W,$L$2)</f>
        <v>602.79999999999995</v>
      </c>
      <c r="M222" s="303"/>
      <c r="N222" s="304">
        <f t="shared" si="127"/>
        <v>-359.03999999999996</v>
      </c>
      <c r="O222" s="303"/>
      <c r="P222" s="178"/>
      <c r="Q222" s="180">
        <f>SUMIFS(BV_Data_An_Prec!$O:$O,BV_Data_An_Prec!$U:$U,$B222,BV_Data_An_Prec!$V:$V,$C222,BV_Data_An_Prec!$W:$W,$L$2)</f>
        <v>1224</v>
      </c>
      <c r="R222" s="303"/>
      <c r="S222" s="199">
        <f t="shared" si="124"/>
        <v>-621.20000000000005</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7"/>
        <v>ServiceFormation</v>
      </c>
      <c r="B223" s="24" t="s">
        <v>155</v>
      </c>
      <c r="C223" s="264" t="s">
        <v>133</v>
      </c>
      <c r="D223" s="301"/>
      <c r="E223" s="178"/>
      <c r="F223" s="179">
        <f>+INDEX('Budget original'!$A$2:$AO$496,MATCH($A223,'Budget original'!$A$2:$A$496,0),MATCH(F$2,'Budget original'!$A$2:$AO$2,0))</f>
        <v>1391.26</v>
      </c>
      <c r="G223" s="302"/>
      <c r="H223" s="178"/>
      <c r="I223" s="179">
        <f>+INDEX('Budget révisé'!$A$2:$AO$496,MATCH($A223,'Budget révisé'!$A$2:$A$496,0),MATCH(I$2,'Budget révisé'!$A$2:$AO$2,0))</f>
        <v>1391.26</v>
      </c>
      <c r="J223" s="303"/>
      <c r="K223" s="178"/>
      <c r="L223" s="281">
        <f>SUMIFS(BV_Data_An_Cour!$O:$O,BV_Data_An_Cour!$U:$U,$B223,BV_Data_An_Cour!$V:$V,$C223,BV_Data_An_Cour!$W:$W,$L$2)</f>
        <v>3976.7</v>
      </c>
      <c r="M223" s="303"/>
      <c r="N223" s="304">
        <f t="shared" si="127"/>
        <v>2585.4399999999996</v>
      </c>
      <c r="O223" s="303"/>
      <c r="P223" s="178"/>
      <c r="Q223" s="180">
        <f>SUMIFS(BV_Data_An_Prec!$O:$O,BV_Data_An_Prec!$U:$U,$B223,BV_Data_An_Prec!$V:$V,$C223,BV_Data_An_Prec!$W:$W,$L$2)</f>
        <v>2786.67</v>
      </c>
      <c r="R223" s="303"/>
      <c r="S223" s="199">
        <f t="shared" si="124"/>
        <v>1190.0299999999997</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7"/>
        <v>ServiceFrais bancaires</v>
      </c>
      <c r="B224" s="24" t="s">
        <v>155</v>
      </c>
      <c r="C224" s="264" t="s">
        <v>134</v>
      </c>
      <c r="D224" s="301"/>
      <c r="E224" s="178"/>
      <c r="F224" s="179">
        <f>+INDEX('Budget original'!$A$2:$AO$496,MATCH($A224,'Budget original'!$A$2:$A$496,0),MATCH(F$2,'Budget original'!$A$2:$AO$2,0))</f>
        <v>1715.5334678190397</v>
      </c>
      <c r="G224" s="302"/>
      <c r="H224" s="178"/>
      <c r="I224" s="179">
        <f>+INDEX('Budget révisé'!$A$2:$AO$496,MATCH($A224,'Budget révisé'!$A$2:$A$496,0),MATCH(I$2,'Budget révisé'!$A$2:$AO$2,0))</f>
        <v>1715.5334678190397</v>
      </c>
      <c r="J224" s="303"/>
      <c r="K224" s="178"/>
      <c r="L224" s="281">
        <f>AF447*W5</f>
        <v>1584.018</v>
      </c>
      <c r="M224" s="303"/>
      <c r="N224" s="304">
        <f t="shared" si="127"/>
        <v>-131.51546781903971</v>
      </c>
      <c r="O224" s="303"/>
      <c r="P224" s="178"/>
      <c r="Q224" s="281">
        <f>AL447*W5</f>
        <v>1501.173</v>
      </c>
      <c r="R224" s="303"/>
      <c r="S224" s="199">
        <f t="shared" si="124"/>
        <v>82.845000000000027</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7"/>
        <v>Service[...]</v>
      </c>
      <c r="B225" s="24" t="s">
        <v>155</v>
      </c>
      <c r="C225" s="264" t="s">
        <v>42</v>
      </c>
      <c r="D225" s="301"/>
      <c r="E225" s="178"/>
      <c r="F225" s="179">
        <f>+INDEX('Budget original'!$A$2:$AO$496,MATCH($A225,'Budget original'!$A$2:$A$496,0),MATCH(F$2,'Budget original'!$A$2:$AO$2,0))</f>
        <v>0</v>
      </c>
      <c r="G225" s="302"/>
      <c r="H225" s="178"/>
      <c r="I225" s="179">
        <f>+INDEX('Budget révisé'!$A$2:$AO$496,MATCH($A225,'Budget révisé'!$A$2:$A$496,0),MATCH(I$2,'Budget révisé'!$A$2:$AO$2,0))</f>
        <v>0</v>
      </c>
      <c r="J225" s="303"/>
      <c r="K225" s="178"/>
      <c r="L225" s="281">
        <f>SUMIFS(BV_Data_An_Cour!$O:$O,BV_Data_An_Cour!$U:$U,$B225,BV_Data_An_Cour!$V:$V,$C225,BV_Data_An_Cour!$W:$W,$L$2)</f>
        <v>0</v>
      </c>
      <c r="M225" s="303"/>
      <c r="N225" s="304">
        <f t="shared" si="127"/>
        <v>0</v>
      </c>
      <c r="O225" s="303"/>
      <c r="P225" s="178"/>
      <c r="Q225" s="180">
        <f>SUMIFS(BV_Data_An_Prec!$O:$O,BV_Data_An_Prec!$U:$U,$B225,BV_Data_An_Prec!$V:$V,$C225,BV_Data_An_Prec!$W:$W,$L$2)</f>
        <v>0</v>
      </c>
      <c r="R225" s="303"/>
      <c r="S225" s="199">
        <f t="shared" si="124"/>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A226" s="570" t="str">
        <f t="shared" ref="A226" si="131">+B226&amp;C226</f>
        <v>Service[...]</v>
      </c>
      <c r="B226" s="24" t="s">
        <v>155</v>
      </c>
      <c r="C226" s="264" t="s">
        <v>42</v>
      </c>
      <c r="D226" s="301"/>
      <c r="E226" s="178"/>
      <c r="F226" s="179">
        <f>+INDEX('Budget original'!$A$2:$AO$496,MATCH($A226,'Budget original'!$A$2:$A$496,0),MATCH(F$2,'Budget original'!$A$2:$AO$2,0))</f>
        <v>0</v>
      </c>
      <c r="G226" s="302"/>
      <c r="H226" s="178"/>
      <c r="I226" s="179">
        <f>+INDEX('Budget révisé'!$A$2:$AO$496,MATCH($A226,'Budget révisé'!$A$2:$A$496,0),MATCH(I$2,'Budget révisé'!$A$2:$AO$2,0))</f>
        <v>0</v>
      </c>
      <c r="J226" s="303"/>
      <c r="K226" s="178"/>
      <c r="L226" s="281">
        <f>SUMIFS(BV_Data_An_Cour!$O:$O,BV_Data_An_Cour!$U:$U,$B226,BV_Data_An_Cour!$V:$V,$C226,BV_Data_An_Cour!$W:$W,$L$2)</f>
        <v>0</v>
      </c>
      <c r="M226" s="303"/>
      <c r="N226" s="304">
        <f t="shared" ref="N226" si="132">L226-I226</f>
        <v>0</v>
      </c>
      <c r="O226" s="303"/>
      <c r="P226" s="178"/>
      <c r="Q226" s="180">
        <f>SUMIFS(BV_Data_An_Prec!$O:$O,BV_Data_An_Prec!$U:$U,$B226,BV_Data_An_Prec!$V:$V,$C226,BV_Data_An_Prec!$W:$W,$L$2)</f>
        <v>0</v>
      </c>
      <c r="R226" s="303"/>
      <c r="S226" s="199">
        <f t="shared" ref="S226" si="133">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7"/>
        <v>Service[...]</v>
      </c>
      <c r="B227" s="24" t="s">
        <v>155</v>
      </c>
      <c r="C227" s="264" t="s">
        <v>42</v>
      </c>
      <c r="D227" s="301"/>
      <c r="E227" s="178"/>
      <c r="F227" s="179">
        <f>+INDEX('Budget original'!$A$2:$AO$496,MATCH($A227,'Budget original'!$A$2:$A$496,0),MATCH(F$2,'Budget original'!$A$2:$AO$2,0))</f>
        <v>0</v>
      </c>
      <c r="G227" s="302"/>
      <c r="H227" s="178"/>
      <c r="I227" s="179">
        <f>+INDEX('Budget révisé'!$A$2:$AO$496,MATCH($A227,'Budget révisé'!$A$2:$A$496,0),MATCH(I$2,'Budget révisé'!$A$2:$AO$2,0))</f>
        <v>0</v>
      </c>
      <c r="J227" s="303"/>
      <c r="K227" s="178"/>
      <c r="L227" s="281">
        <f>SUMIFS(BV_Data_An_Cour!$O:$O,BV_Data_An_Cour!$U:$U,$B227,BV_Data_An_Cour!$V:$V,$C227,BV_Data_An_Cour!$W:$W,$L$2)</f>
        <v>0</v>
      </c>
      <c r="M227" s="303"/>
      <c r="N227" s="304">
        <f t="shared" si="127"/>
        <v>0</v>
      </c>
      <c r="O227" s="303"/>
      <c r="P227" s="178"/>
      <c r="Q227" s="180">
        <f>SUMIFS(BV_Data_An_Prec!$O:$O,BV_Data_An_Prec!$U:$U,$B227,BV_Data_An_Prec!$V:$V,$C227,BV_Data_An_Prec!$W:$W,$L$2)</f>
        <v>0</v>
      </c>
      <c r="R227" s="303"/>
      <c r="S227" s="199">
        <f t="shared" si="124"/>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0.25638763990793267</v>
      </c>
      <c r="F228" s="41">
        <f>+SUM(F210:F227)</f>
        <v>42209.212873093973</v>
      </c>
      <c r="G228" s="42" t="s">
        <v>170</v>
      </c>
      <c r="H228" s="40">
        <f>I228/I$193</f>
        <v>0.25638763990793267</v>
      </c>
      <c r="I228" s="41">
        <f>+SUM(I210:I227)</f>
        <v>42209.212873093973</v>
      </c>
      <c r="J228" s="42" t="s">
        <v>170</v>
      </c>
      <c r="K228" s="40">
        <f>L228/L$193</f>
        <v>0.28519409600937079</v>
      </c>
      <c r="L228" s="41">
        <f>+SUM(L210:L227)</f>
        <v>38580.678</v>
      </c>
      <c r="M228" s="44"/>
      <c r="N228" s="41">
        <f t="shared" ref="N228" si="134">L228-I228</f>
        <v>-3628.5348730939731</v>
      </c>
      <c r="O228" s="42" t="s">
        <v>170</v>
      </c>
      <c r="P228" s="40">
        <f>Q228/Q$193</f>
        <v>0.32764965300128962</v>
      </c>
      <c r="Q228" s="41">
        <f>+SUM(Q210:Q227)</f>
        <v>56376.723000000005</v>
      </c>
      <c r="R228" s="44"/>
      <c r="S228" s="316">
        <f t="shared" ref="S228" si="135">L228-Q228</f>
        <v>-17796.045000000006</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0.95633804849556103</v>
      </c>
      <c r="F230" s="41">
        <f>F209+F228</f>
        <v>157442.36454644889</v>
      </c>
      <c r="G230" s="42" t="s">
        <v>111</v>
      </c>
      <c r="H230" s="40">
        <f>I230/I$193</f>
        <v>0.95633804849556103</v>
      </c>
      <c r="I230" s="41">
        <f>I209+I228</f>
        <v>157442.36454644889</v>
      </c>
      <c r="J230" s="42" t="s">
        <v>111</v>
      </c>
      <c r="K230" s="40">
        <f>L230/L$193</f>
        <v>0.90320157641999244</v>
      </c>
      <c r="L230" s="41">
        <f>L209+L228</f>
        <v>122183.90799999998</v>
      </c>
      <c r="M230" s="44"/>
      <c r="N230" s="46">
        <f t="shared" ref="N230:N232" si="136">L230-I230</f>
        <v>-35258.456546448913</v>
      </c>
      <c r="O230" s="42" t="s">
        <v>111</v>
      </c>
      <c r="P230" s="40">
        <f>Q230/Q$193</f>
        <v>0.83765807777150914</v>
      </c>
      <c r="Q230" s="41">
        <f>Q209+Q228</f>
        <v>144130.83300000001</v>
      </c>
      <c r="R230" s="44"/>
      <c r="S230" s="299">
        <f>L230-Q230</f>
        <v>-21946.925000000032</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36"/>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7188.0867820592248</v>
      </c>
      <c r="G232" s="344"/>
      <c r="H232" s="342"/>
      <c r="I232" s="343">
        <f>I193-I230</f>
        <v>7188.0867820592248</v>
      </c>
      <c r="J232" s="345"/>
      <c r="K232" s="346"/>
      <c r="L232" s="343">
        <f>L193-L230</f>
        <v>13094.762000000061</v>
      </c>
      <c r="M232" s="345"/>
      <c r="N232" s="343">
        <f t="shared" si="136"/>
        <v>5906.6752179408359</v>
      </c>
      <c r="O232" s="345"/>
      <c r="P232" s="346"/>
      <c r="Q232" s="343">
        <f>Q193-Q230</f>
        <v>27933.206999999937</v>
      </c>
      <c r="R232" s="345"/>
      <c r="S232" s="347">
        <f>L232-Q232</f>
        <v>-14838.444999999876</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Juillet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61" t="s">
        <v>77</v>
      </c>
      <c r="E237" s="1162"/>
      <c r="F237" s="1163"/>
      <c r="G237" s="1164" t="s">
        <v>145</v>
      </c>
      <c r="H237" s="1162"/>
      <c r="I237" s="1163"/>
      <c r="J237" s="1164" t="s">
        <v>79</v>
      </c>
      <c r="K237" s="1162"/>
      <c r="L237" s="1163"/>
      <c r="M237" s="1164" t="s">
        <v>80</v>
      </c>
      <c r="N237" s="1163"/>
      <c r="O237" s="1161" t="s">
        <v>81</v>
      </c>
      <c r="P237" s="1162"/>
      <c r="Q237" s="1163"/>
      <c r="R237" s="1164" t="s">
        <v>82</v>
      </c>
      <c r="S237" s="1165"/>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7">+B238&amp;C238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7"/>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7"/>
        <v>CarrosserieM/O Sous-traitement</v>
      </c>
      <c r="B240" s="24" t="s">
        <v>171</v>
      </c>
      <c r="C240" s="550" t="s">
        <v>172</v>
      </c>
      <c r="D240" s="266">
        <f>+INDEX('Budget original'!$A$2:$AO$496,MATCH($A240,'Budget original'!$A$2:$A$496,0),MATCH(D$2,'Budget original'!$A$2:$AO$2,0))</f>
        <v>0</v>
      </c>
      <c r="E240" s="197">
        <f>+INDEX('Budget original'!$A$2:$AO$496,MATCH($A240,'Budget original'!$A$2:$A$496,0),MATCH(E$2,'Budget original'!$A$2:$AO$2,0))</f>
        <v>102548.37313545501</v>
      </c>
      <c r="F240" s="197">
        <f>+INDEX('Budget original'!$A$2:$AO$496,MATCH($A240,'Budget original'!$A$2:$A$496,0),MATCH(F$2,'Budget original'!$A$2:$AO$2,0))</f>
        <v>23364.399608969885</v>
      </c>
      <c r="G240" s="348">
        <f>+INDEX('Budget révisé'!$A$2:$AO$496,MATCH($A240,'Budget révisé'!$A$2:$A$496,0),MATCH(G$2,'Budget révisé'!$A$2:$AO$2,0))</f>
        <v>0</v>
      </c>
      <c r="H240" s="197">
        <f>+INDEX('Budget révisé'!$A$2:$AO$496,MATCH($A240,'Budget révisé'!$A$2:$A$496,0),MATCH(H$2,'Budget révisé'!$A$2:$AO$2,0))</f>
        <v>102548.37313545501</v>
      </c>
      <c r="I240" s="197">
        <f>+INDEX('Budget révisé'!$A$2:$AO$496,MATCH($A240,'Budget révisé'!$A$2:$A$496,0),MATCH(I$2,'Budget révisé'!$A$2:$AO$2,0))</f>
        <v>23364.399608969885</v>
      </c>
      <c r="J240" s="325">
        <f>-SUMIFS(BV_Data_An_Cour!$O:$O,BV_Data_An_Cour!$U:$U,$B240,BV_Data_An_Cour!$V:$V,$C240,BV_Data_An_Cour!$W:$W,J$2)</f>
        <v>58</v>
      </c>
      <c r="K240" s="179">
        <f>-SUMIFS(BV_Data_An_Cour!$O:$O,BV_Data_An_Cour!$X:$X,"Oui",BV_Data_An_Cour!$U:$U,$B240,BV_Data_An_Cour!$V:$V,$C240)</f>
        <v>54809.440000000002</v>
      </c>
      <c r="L240" s="180">
        <f>-SUMIFS(BV_Data_An_Cour!$O:$O,BV_Data_An_Cour!$U:$U,$B240,BV_Data_An_Cour!$V:$V,$C240,BV_Data_An_Cour!$W:$W,$L$2)</f>
        <v>13545.490000000005</v>
      </c>
      <c r="M240" s="324">
        <f>IFERROR((K240-H240)/H240,0)</f>
        <v>-0.46552599203497047</v>
      </c>
      <c r="N240" s="304">
        <f>L240-I240</f>
        <v>-9818.9096089698796</v>
      </c>
      <c r="O240" s="325">
        <f>-SUMIFS(BV_Data_An_Prec!$O:$O,BV_Data_An_Prec!$U:$U,$B240,BV_Data_An_Prec!$V:$V,$C240,BV_Data_An_Prec!$W:$W,O$2)</f>
        <v>109</v>
      </c>
      <c r="P240" s="179">
        <f>-SUMIFS(BV_Data_An_Prec!$O:$O,BV_Data_An_Prec!$X:$X,"Oui",BV_Data_An_Prec!$U:$U,$B240,BV_Data_An_Prec!$V:$V,$C240)</f>
        <v>139785.9</v>
      </c>
      <c r="Q240" s="180">
        <f>-SUMIFS(BV_Data_An_Prec!$O:$O,BV_Data_An_Prec!$U:$U,$B240,BV_Data_An_Prec!$V:$V,$C240,BV_Data_An_Prec!$W:$W,$L$2)</f>
        <v>31990.120000000003</v>
      </c>
      <c r="R240" s="324">
        <f>IF(O240=0,0,J240/O240)</f>
        <v>0.5321100917431193</v>
      </c>
      <c r="S240" s="199">
        <f>L240-Q240</f>
        <v>-18444.629999999997</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7"/>
        <v>Carrosserie% profit / ventes</v>
      </c>
      <c r="B241" s="24" t="s">
        <v>171</v>
      </c>
      <c r="C241" s="264" t="s">
        <v>160</v>
      </c>
      <c r="D241" s="266"/>
      <c r="E241" s="349"/>
      <c r="F241" s="350">
        <f>IFERROR(F240/E240,0)</f>
        <v>0.22783783783783784</v>
      </c>
      <c r="G241" s="303"/>
      <c r="H241" s="349"/>
      <c r="I241" s="350">
        <f>IFERROR(I240/H240,0)</f>
        <v>0.22783783783783784</v>
      </c>
      <c r="J241" s="325"/>
      <c r="K241" s="178"/>
      <c r="L241" s="350">
        <f>IFERROR(L240/K240,0)</f>
        <v>0.24713790179210013</v>
      </c>
      <c r="M241" s="324"/>
      <c r="N241" s="304">
        <f>IFERROR(N240/M240,0)</f>
        <v>21092.076010725261</v>
      </c>
      <c r="O241" s="325"/>
      <c r="P241" s="178"/>
      <c r="Q241" s="350">
        <f>IFERROR(Q240/P240,0)</f>
        <v>0.22885083545622273</v>
      </c>
      <c r="R241" s="325"/>
      <c r="S241" s="199">
        <f>IFERROR(S240/R240,0)</f>
        <v>-34663.183965517237</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7"/>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7"/>
        <v>CarrosserieM/O Carrosserie</v>
      </c>
      <c r="B243" s="24" t="s">
        <v>171</v>
      </c>
      <c r="C243" s="351" t="s">
        <v>173</v>
      </c>
      <c r="D243" s="352">
        <f>+INDEX('Budget original'!$A$2:$AO$496,MATCH($A243,'Budget original'!$A$2:$A$496,0),MATCH(D$2,'Budget original'!$A$2:$AO$2,0))</f>
        <v>0</v>
      </c>
      <c r="E243" s="197">
        <f>+INDEX('Budget original'!$A$2:$AO$496,MATCH($A243,'Budget original'!$A$2:$A$496,0),MATCH(E$2,'Budget original'!$A$2:$AO$2,0))</f>
        <v>0</v>
      </c>
      <c r="F243" s="197">
        <f>+INDEX('Budget original'!$A$2:$AO$496,MATCH($A243,'Budget original'!$A$2:$A$496,0),MATCH(F$2,'Budget original'!$A$2:$AO$2,0))</f>
        <v>0</v>
      </c>
      <c r="G243" s="353">
        <f>+INDEX('Budget révisé'!$A$2:$AO$496,MATCH($A243,'Budget révisé'!$A$2:$A$496,0),MATCH(G$2,'Budget révisé'!$A$2:$AO$2,0))</f>
        <v>0</v>
      </c>
      <c r="H243" s="197">
        <f>+INDEX('Budget révisé'!$A$2:$AO$496,MATCH($A243,'Budget révisé'!$A$2:$A$496,0),MATCH(H$2,'Budget révisé'!$A$2:$AO$2,0))</f>
        <v>0</v>
      </c>
      <c r="I243" s="197">
        <f>+INDEX('Budget révisé'!$A$2:$AO$496,MATCH($A243,'Budget révisé'!$A$2:$A$496,0),MATCH(I$2,'Budget révisé'!$A$2:$AO$2,0))</f>
        <v>0</v>
      </c>
      <c r="J243" s="354">
        <f>SUMIFS(BV_Data_An_Cour!$C$1:$C$636,BV_Data_An_Cour!$V$1:$V$636,$C243,BV_Data_An_Cour!$U$1:$U$636,$K$235)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7"/>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7"/>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7"/>
        <v>CarrosserieM/O Esthétique Carr.</v>
      </c>
      <c r="B246" s="24" t="s">
        <v>171</v>
      </c>
      <c r="C246" s="351" t="s">
        <v>174</v>
      </c>
      <c r="D246" s="357">
        <v>0</v>
      </c>
      <c r="E246" s="197">
        <v>0</v>
      </c>
      <c r="F246" s="197">
        <v>0</v>
      </c>
      <c r="G246" s="354">
        <v>0</v>
      </c>
      <c r="H246" s="197">
        <v>0</v>
      </c>
      <c r="I246" s="197">
        <v>0</v>
      </c>
      <c r="J246" s="354">
        <f>SUMIFS(BV_Data_An_Cour!$C$1:$C$636,BV_Data_An_Cour!$V$1:$V$636,$C246,BV_Data_An_Cour!$U$1:$U$636,$K$235)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7"/>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7"/>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7"/>
        <v>CarrosserieTotal Mécanique</v>
      </c>
      <c r="B249" s="24" t="s">
        <v>171</v>
      </c>
      <c r="C249" s="269" t="s">
        <v>169</v>
      </c>
      <c r="D249" s="26"/>
      <c r="E249" s="26">
        <f t="shared" ref="E249:F249" si="138">E243+E246+E240</f>
        <v>102548.37313545501</v>
      </c>
      <c r="F249" s="28">
        <f t="shared" si="138"/>
        <v>23364.399608969885</v>
      </c>
      <c r="G249" s="29"/>
      <c r="H249" s="26">
        <f t="shared" ref="H249:I249" si="139">H243+H246+H240</f>
        <v>102548.37313545501</v>
      </c>
      <c r="I249" s="28">
        <f t="shared" si="139"/>
        <v>23364.399608969885</v>
      </c>
      <c r="J249" s="29"/>
      <c r="K249" s="26">
        <f t="shared" ref="K249:L249" si="140">K243+K246+K240</f>
        <v>54809.440000000002</v>
      </c>
      <c r="L249" s="28">
        <f t="shared" si="140"/>
        <v>13545.490000000005</v>
      </c>
      <c r="M249" s="70">
        <f>L250-I250</f>
        <v>1.9300063954262286E-2</v>
      </c>
      <c r="N249" s="28">
        <f>L249-I249</f>
        <v>-9818.9096089698796</v>
      </c>
      <c r="O249" s="29"/>
      <c r="P249" s="26">
        <f t="shared" ref="P249:Q249" si="141">P243+P246+P240</f>
        <v>139785.9</v>
      </c>
      <c r="Q249" s="28">
        <f t="shared" si="141"/>
        <v>31990.120000000003</v>
      </c>
      <c r="R249" s="70">
        <f>L250-Q250</f>
        <v>1.82870663358774E-2</v>
      </c>
      <c r="S249" s="363">
        <f>L249-Q249</f>
        <v>-18444.629999999997</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7"/>
        <v>Carrosserie</v>
      </c>
      <c r="B250" s="24" t="s">
        <v>171</v>
      </c>
      <c r="C250" s="364"/>
      <c r="D250" s="365"/>
      <c r="E250" s="365"/>
      <c r="F250" s="34">
        <f>F249/E249</f>
        <v>0.22783783783783784</v>
      </c>
      <c r="G250" s="31"/>
      <c r="H250" s="365"/>
      <c r="I250" s="34">
        <f>I249/H249</f>
        <v>0.22783783783783784</v>
      </c>
      <c r="J250" s="31"/>
      <c r="K250" s="365"/>
      <c r="L250" s="34">
        <f>IF(K249=0,0,L249/K249)</f>
        <v>0.24713790179210013</v>
      </c>
      <c r="M250" s="33"/>
      <c r="N250" s="34">
        <f>N249/I249</f>
        <v>-0.42025088482052314</v>
      </c>
      <c r="O250" s="31"/>
      <c r="P250" s="365"/>
      <c r="Q250" s="34">
        <f>IF(P249=0,0,Q249/P249)</f>
        <v>0.22885083545622273</v>
      </c>
      <c r="R250" s="33"/>
      <c r="S250" s="272">
        <f>IF(R249=0,0,S249/R249)</f>
        <v>-1008616.1258032664</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7"/>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7"/>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7"/>
        <v>CarrosserieSalaires cadres</v>
      </c>
      <c r="B253" s="24" t="s">
        <v>171</v>
      </c>
      <c r="C253" s="280" t="s">
        <v>112</v>
      </c>
      <c r="D253" s="233"/>
      <c r="E253" s="233"/>
      <c r="F253" s="231">
        <f>+INDEX('Budget original'!$A$2:$AO$496,MATCH($A253,'Budget original'!$A$2:$A$496,0),MATCH(F$2,'Budget original'!$A$2:$AO$2,0))</f>
        <v>296.76398467432955</v>
      </c>
      <c r="G253" s="227"/>
      <c r="H253" s="233"/>
      <c r="I253" s="231">
        <f>+INDEX('Budget révisé'!$A$2:$AO$496,MATCH($A253,'Budget révisé'!$A$2:$A$496,0),MATCH(I$2,'Budget révisé'!$A$2:$AO$2,0))</f>
        <v>296.76398467432955</v>
      </c>
      <c r="J253" s="227"/>
      <c r="K253" s="233"/>
      <c r="L253" s="281">
        <f>SUMIFS(BV_Data_An_Cour!$O:$O,BV_Data_An_Cour!$U:$U,$B253,BV_Data_An_Cour!$V:$V,$C253,BV_Data_An_Cour!$W:$W,$L$2)</f>
        <v>809.12</v>
      </c>
      <c r="M253" s="227"/>
      <c r="N253" s="232">
        <f t="shared" ref="N253:N283" si="142">L253-I253</f>
        <v>512.35601532567046</v>
      </c>
      <c r="O253" s="227"/>
      <c r="P253" s="233"/>
      <c r="Q253" s="281">
        <f>SUMIFS(BV_Data_An_Prec!$O:$O,BV_Data_An_Prec!$U:$U,$B253,BV_Data_An_Prec!$V:$V,$C253,BV_Data_An_Prec!$W:$W,$L$2)</f>
        <v>661.42</v>
      </c>
      <c r="R253" s="227"/>
      <c r="S253" s="512">
        <f>L253-Q253</f>
        <v>147.70000000000005</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7"/>
        <v>CarrosserieSalaires commis</v>
      </c>
      <c r="B254" s="24" t="s">
        <v>171</v>
      </c>
      <c r="C254" s="282" t="s">
        <v>113</v>
      </c>
      <c r="D254" s="262"/>
      <c r="E254" s="233"/>
      <c r="F254" s="244">
        <f>+INDEX('Budget original'!$A$2:$AO$496,MATCH($A254,'Budget original'!$A$2:$A$496,0),MATCH(F$2,'Budget original'!$A$2:$AO$2,0))</f>
        <v>557.18669667432948</v>
      </c>
      <c r="G254" s="283"/>
      <c r="H254" s="233"/>
      <c r="I254" s="244">
        <f>+INDEX('Budget révisé'!$A$2:$AO$496,MATCH($A254,'Budget révisé'!$A$2:$A$496,0),MATCH(I$2,'Budget révisé'!$A$2:$AO$2,0))</f>
        <v>557.18669667432948</v>
      </c>
      <c r="J254" s="227"/>
      <c r="K254" s="233"/>
      <c r="L254" s="281">
        <f>SUMIFS(BV_Data_An_Cour!$O:$O,BV_Data_An_Cour!$U:$U,$B254,BV_Data_An_Cour!$V:$V,$C254,BV_Data_An_Cour!$W:$W,$L$2)</f>
        <v>498.5</v>
      </c>
      <c r="M254" s="227"/>
      <c r="N254" s="232">
        <f t="shared" si="142"/>
        <v>-58.686696674329482</v>
      </c>
      <c r="O254" s="227"/>
      <c r="P254" s="233"/>
      <c r="Q254" s="281">
        <f>SUMIFS(BV_Data_An_Prec!$O:$O,BV_Data_An_Prec!$U:$U,$B254,BV_Data_An_Prec!$V:$V,$C254,BV_Data_An_Prec!$W:$W,$L$2)</f>
        <v>1167.0899999999999</v>
      </c>
      <c r="R254" s="227"/>
      <c r="S254" s="284">
        <f>L254-Q254</f>
        <v>-668.58999999999992</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7"/>
        <v>CarrosserieSalaires autres</v>
      </c>
      <c r="B255" s="24" t="s">
        <v>171</v>
      </c>
      <c r="C255" s="280" t="s">
        <v>114</v>
      </c>
      <c r="D255" s="285"/>
      <c r="E255" s="286"/>
      <c r="F255" s="231">
        <f>+INDEX('Budget original'!$A$2:$AO$496,MATCH($A255,'Budget original'!$A$2:$A$496,0),MATCH(F$2,'Budget original'!$A$2:$AO$2,0))</f>
        <v>3454.5361019340994</v>
      </c>
      <c r="G255" s="287"/>
      <c r="H255" s="286"/>
      <c r="I255" s="231">
        <f>+INDEX('Budget révisé'!$A$2:$AO$496,MATCH($A255,'Budget révisé'!$A$2:$A$496,0),MATCH(I$2,'Budget révisé'!$A$2:$AO$2,0))</f>
        <v>3454.5361019340994</v>
      </c>
      <c r="J255" s="288"/>
      <c r="K255" s="286"/>
      <c r="L255" s="245">
        <f>SUMIFS(BV_Data_An_Cour!$O:$O,BV_Data_An_Cour!$U:$U,$B255,BV_Data_An_Cour!$V:$V,$C255,BV_Data_An_Cour!$W:$W,$L$2)</f>
        <v>4370.16</v>
      </c>
      <c r="M255" s="288"/>
      <c r="N255" s="289">
        <f t="shared" si="142"/>
        <v>915.62389806590045</v>
      </c>
      <c r="O255" s="288"/>
      <c r="P255" s="286"/>
      <c r="Q255" s="245">
        <f>SUMIFS(BV_Data_An_Prec!$O:$O,BV_Data_An_Prec!$U:$U,$B255,BV_Data_An_Prec!$V:$V,$C255,BV_Data_An_Prec!$W:$W,$L$2)</f>
        <v>6349.9</v>
      </c>
      <c r="R255" s="288"/>
      <c r="S255" s="290">
        <f t="shared" ref="S255:S264" si="143">L255-Q255</f>
        <v>-1979.7399999999998</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7"/>
        <v>CarrosserieSalaires spécialistes</v>
      </c>
      <c r="B256" s="24" t="s">
        <v>171</v>
      </c>
      <c r="C256" s="280" t="s">
        <v>115</v>
      </c>
      <c r="D256" s="262"/>
      <c r="E256" s="233"/>
      <c r="F256" s="231">
        <f>+INDEX('Budget original'!$A$2:$AO$496,MATCH($A256,'Budget original'!$A$2:$A$496,0),MATCH(F$2,'Budget original'!$A$2:$AO$2,0))</f>
        <v>3579.3189425287355</v>
      </c>
      <c r="G256" s="283"/>
      <c r="H256" s="233"/>
      <c r="I256" s="231">
        <f>+INDEX('Budget révisé'!$A$2:$AO$496,MATCH($A256,'Budget révisé'!$A$2:$A$496,0),MATCH(I$2,'Budget révisé'!$A$2:$AO$2,0))</f>
        <v>3579.3189425287355</v>
      </c>
      <c r="J256" s="227"/>
      <c r="K256" s="233"/>
      <c r="L256" s="281">
        <f>SUMIFS(BV_Data_An_Cour!$O:$O,BV_Data_An_Cour!$U:$U,$B256,BV_Data_An_Cour!$V:$V,$C256,BV_Data_An_Cour!$W:$W,$L$2)</f>
        <v>1711.56</v>
      </c>
      <c r="M256" s="227"/>
      <c r="N256" s="232">
        <f t="shared" si="142"/>
        <v>-1867.7589425287356</v>
      </c>
      <c r="O256" s="227"/>
      <c r="P256" s="233"/>
      <c r="Q256" s="281">
        <f>SUMIFS(BV_Data_An_Prec!$O:$O,BV_Data_An_Prec!$U:$U,$B256,BV_Data_An_Prec!$V:$V,$C256,BV_Data_An_Prec!$W:$W,$L$2)</f>
        <v>6760.68</v>
      </c>
      <c r="R256" s="227"/>
      <c r="S256" s="284">
        <f t="shared" si="143"/>
        <v>-5049.1200000000008</v>
      </c>
      <c r="T256" s="233"/>
      <c r="U256" s="1088"/>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7"/>
        <v>Carrosserie[...]</v>
      </c>
      <c r="B257" s="24" t="s">
        <v>171</v>
      </c>
      <c r="C257" s="291" t="s">
        <v>42</v>
      </c>
      <c r="D257" s="262"/>
      <c r="E257" s="233"/>
      <c r="F257" s="231">
        <f>+INDEX('Budget original'!$A$2:$AO$496,MATCH($A257,'Budget original'!$A$2:$A$496,0),MATCH(F$2,'Budget original'!$A$2:$AO$2,0))</f>
        <v>0</v>
      </c>
      <c r="G257" s="283"/>
      <c r="H257" s="233"/>
      <c r="I257" s="231">
        <f>+INDEX('Budget révisé'!$A$2:$AO$496,MATCH($A257,'Budget révisé'!$A$2:$A$496,0),MATCH(I$2,'Budget révisé'!$A$2:$AO$2,0))</f>
        <v>0</v>
      </c>
      <c r="J257" s="227"/>
      <c r="K257" s="233"/>
      <c r="L257" s="281">
        <f>SUMIFS(BV_Data_An_Cour!$O:$O,BV_Data_An_Cour!$U:$U,$B257,BV_Data_An_Cour!$V:$V,$C257,BV_Data_An_Cour!$W:$W,$L$2)</f>
        <v>0</v>
      </c>
      <c r="M257" s="227"/>
      <c r="N257" s="232">
        <f t="shared" si="142"/>
        <v>0</v>
      </c>
      <c r="O257" s="227"/>
      <c r="P257" s="233"/>
      <c r="Q257" s="281">
        <f>SUMIFS(BV_Data_An_Prec!$O:$O,BV_Data_An_Prec!$U:$U,$B257,BV_Data_An_Prec!$V:$V,$C257,BV_Data_An_Prec!$W:$W,$L$2)</f>
        <v>0</v>
      </c>
      <c r="R257" s="227"/>
      <c r="S257" s="284">
        <f t="shared" si="143"/>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7"/>
        <v>Carrosserie[...]</v>
      </c>
      <c r="B258" s="24" t="s">
        <v>171</v>
      </c>
      <c r="C258" s="291" t="s">
        <v>42</v>
      </c>
      <c r="D258" s="262"/>
      <c r="E258" s="233"/>
      <c r="F258" s="231">
        <f>+INDEX('Budget original'!$A$2:$AO$496,MATCH($A258,'Budget original'!$A$2:$A$496,0),MATCH(F$2,'Budget original'!$A$2:$AO$2,0))</f>
        <v>0</v>
      </c>
      <c r="G258" s="283"/>
      <c r="H258" s="233"/>
      <c r="I258" s="231">
        <f>+INDEX('Budget révisé'!$A$2:$AO$496,MATCH($A258,'Budget révisé'!$A$2:$A$496,0),MATCH(I$2,'Budget révisé'!$A$2:$AO$2,0))</f>
        <v>0</v>
      </c>
      <c r="J258" s="227"/>
      <c r="K258" s="233"/>
      <c r="L258" s="281">
        <f>SUMIFS(BV_Data_An_Cour!$O:$O,BV_Data_An_Cour!$U:$U,$B258,BV_Data_An_Cour!$V:$V,$C258,BV_Data_An_Cour!$W:$W,$L$2)</f>
        <v>0</v>
      </c>
      <c r="M258" s="227"/>
      <c r="N258" s="232">
        <f t="shared" si="142"/>
        <v>0</v>
      </c>
      <c r="O258" s="227"/>
      <c r="P258" s="233"/>
      <c r="Q258" s="281">
        <f>SUMIFS(BV_Data_An_Prec!$O:$O,BV_Data_An_Prec!$U:$U,$B258,BV_Data_An_Prec!$V:$V,$C258,BV_Data_An_Prec!$W:$W,$L$2)</f>
        <v>0</v>
      </c>
      <c r="R258" s="227"/>
      <c r="S258" s="284">
        <f t="shared" si="143"/>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7"/>
        <v>Carrosserie[...]</v>
      </c>
      <c r="B259" s="24" t="s">
        <v>171</v>
      </c>
      <c r="C259" s="291" t="s">
        <v>42</v>
      </c>
      <c r="D259" s="262"/>
      <c r="E259" s="233"/>
      <c r="F259" s="231">
        <f>+INDEX('Budget original'!$A$2:$AO$496,MATCH($A259,'Budget original'!$A$2:$A$496,0),MATCH(F$2,'Budget original'!$A$2:$AO$2,0))</f>
        <v>0</v>
      </c>
      <c r="G259" s="283"/>
      <c r="H259" s="233"/>
      <c r="I259" s="231">
        <f>+INDEX('Budget révisé'!$A$2:$AO$496,MATCH($A259,'Budget révisé'!$A$2:$A$496,0),MATCH(I$2,'Budget révisé'!$A$2:$AO$2,0))</f>
        <v>0</v>
      </c>
      <c r="J259" s="227"/>
      <c r="K259" s="233"/>
      <c r="L259" s="281">
        <f>SUMIFS(BV_Data_An_Cour!$O:$O,BV_Data_An_Cour!$U:$U,$B259,BV_Data_An_Cour!$V:$V,$C259,BV_Data_An_Cour!$W:$W,$L$2)</f>
        <v>0</v>
      </c>
      <c r="M259" s="227"/>
      <c r="N259" s="232">
        <f t="shared" si="142"/>
        <v>0</v>
      </c>
      <c r="O259" s="227"/>
      <c r="P259" s="233"/>
      <c r="Q259" s="281">
        <f>SUMIFS(BV_Data_An_Prec!$O:$O,BV_Data_An_Prec!$U:$U,$B259,BV_Data_An_Prec!$V:$V,$C259,BV_Data_An_Prec!$W:$W,$L$2)</f>
        <v>0</v>
      </c>
      <c r="R259" s="227"/>
      <c r="S259" s="284">
        <f t="shared" si="143"/>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7"/>
        <v>CarrosserieSalaires en absences</v>
      </c>
      <c r="B260" s="24" t="s">
        <v>171</v>
      </c>
      <c r="C260" s="282" t="s">
        <v>116</v>
      </c>
      <c r="D260" s="262"/>
      <c r="E260" s="233"/>
      <c r="F260" s="244">
        <f>+INDEX('Budget original'!$A$2:$AO$496,MATCH($A260,'Budget original'!$A$2:$A$496,0),MATCH(F$2,'Budget original'!$A$2:$AO$2,0))</f>
        <v>946.53668709737929</v>
      </c>
      <c r="G260" s="283"/>
      <c r="H260" s="233"/>
      <c r="I260" s="244">
        <f>+INDEX('Budget révisé'!$A$2:$AO$496,MATCH($A260,'Budget révisé'!$A$2:$A$496,0),MATCH(I$2,'Budget révisé'!$A$2:$AO$2,0))</f>
        <v>946.53668709737929</v>
      </c>
      <c r="J260" s="227"/>
      <c r="K260" s="233"/>
      <c r="L260" s="281">
        <f>SUMIFS(BV_Data_An_Cour!$O:$O,BV_Data_An_Cour!$U:$U,$B260,BV_Data_An_Cour!$V:$V,$C260,BV_Data_An_Cour!$W:$W,$L$2)</f>
        <v>443.68</v>
      </c>
      <c r="M260" s="227"/>
      <c r="N260" s="232">
        <f t="shared" si="142"/>
        <v>-502.85668709737928</v>
      </c>
      <c r="O260" s="227"/>
      <c r="P260" s="233"/>
      <c r="Q260" s="281">
        <f>SUMIFS(BV_Data_An_Prec!$O:$O,BV_Data_An_Prec!$U:$U,$B260,BV_Data_An_Prec!$V:$V,$C260,BV_Data_An_Prec!$W:$W,$L$2)</f>
        <v>1245.21</v>
      </c>
      <c r="R260" s="227"/>
      <c r="S260" s="284">
        <f t="shared" si="143"/>
        <v>-801.53</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7"/>
        <v>CarrosserieDéduction à la source</v>
      </c>
      <c r="B261" s="24" t="s">
        <v>171</v>
      </c>
      <c r="C261" s="280" t="s">
        <v>117</v>
      </c>
      <c r="D261" s="285"/>
      <c r="E261" s="286"/>
      <c r="F261" s="231">
        <f>+INDEX('Budget original'!$A$2:$AO$496,MATCH($A261,'Budget original'!$A$2:$A$496,0),MATCH(F$2,'Budget original'!$A$2:$AO$2,0))</f>
        <v>946.53668709737929</v>
      </c>
      <c r="G261" s="287"/>
      <c r="H261" s="286"/>
      <c r="I261" s="231">
        <f>+INDEX('Budget révisé'!$A$2:$AO$496,MATCH($A261,'Budget révisé'!$A$2:$A$496,0),MATCH(I$2,'Budget révisé'!$A$2:$AO$2,0))</f>
        <v>946.53668709737929</v>
      </c>
      <c r="J261" s="288"/>
      <c r="K261" s="286"/>
      <c r="L261" s="245">
        <f>SUMIFS(BV_Data_An_Cour!$O:$O,BV_Data_An_Cour!$U:$U,$B261,BV_Data_An_Cour!$V:$V,$C261,BV_Data_An_Cour!$W:$W,$L$2)</f>
        <v>886.33</v>
      </c>
      <c r="M261" s="288"/>
      <c r="N261" s="289">
        <f t="shared" si="142"/>
        <v>-60.206687097379245</v>
      </c>
      <c r="O261" s="288"/>
      <c r="P261" s="286"/>
      <c r="Q261" s="245">
        <f>SUMIFS(BV_Data_An_Prec!$O:$O,BV_Data_An_Prec!$U:$U,$B261,BV_Data_An_Prec!$V:$V,$C261,BV_Data_An_Prec!$W:$W,$L$2)</f>
        <v>1234.51</v>
      </c>
      <c r="R261" s="288"/>
      <c r="S261" s="290">
        <f t="shared" si="143"/>
        <v>-348.17999999999995</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7"/>
        <v>CarrosserieBénéfices marginaux</v>
      </c>
      <c r="B262" s="24" t="s">
        <v>171</v>
      </c>
      <c r="C262" s="280" t="s">
        <v>118</v>
      </c>
      <c r="D262" s="262"/>
      <c r="E262" s="233"/>
      <c r="F262" s="231">
        <f>+INDEX('Budget original'!$A$2:$AO$496,MATCH($A262,'Budget original'!$A$2:$A$496,0),MATCH(F$2,'Budget original'!$A$2:$AO$2,0))</f>
        <v>678.35129241978848</v>
      </c>
      <c r="G262" s="283"/>
      <c r="H262" s="233"/>
      <c r="I262" s="231">
        <f>+INDEX('Budget révisé'!$A$2:$AO$496,MATCH($A262,'Budget révisé'!$A$2:$A$496,0),MATCH(I$2,'Budget révisé'!$A$2:$AO$2,0))</f>
        <v>678.35129241978848</v>
      </c>
      <c r="J262" s="227"/>
      <c r="K262" s="233"/>
      <c r="L262" s="281">
        <f>SUMIFS(BV_Data_An_Cour!$O:$O,BV_Data_An_Cour!$U:$U,$B262,BV_Data_An_Cour!$V:$V,$C262,BV_Data_An_Cour!$W:$W,$L$2)</f>
        <v>635.21</v>
      </c>
      <c r="M262" s="227"/>
      <c r="N262" s="232">
        <f t="shared" si="142"/>
        <v>-43.141292419788442</v>
      </c>
      <c r="O262" s="227"/>
      <c r="P262" s="233"/>
      <c r="Q262" s="281">
        <f>SUMIFS(BV_Data_An_Prec!$O:$O,BV_Data_An_Prec!$U:$U,$B262,BV_Data_An_Prec!$V:$V,$C262,BV_Data_An_Prec!$W:$W,$L$2)</f>
        <v>532.33000000000004</v>
      </c>
      <c r="R262" s="227"/>
      <c r="S262" s="284">
        <f t="shared" si="143"/>
        <v>102.88</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7"/>
        <v>CarrosserieCsst</v>
      </c>
      <c r="B263" s="24" t="s">
        <v>171</v>
      </c>
      <c r="C263" s="280" t="s">
        <v>119</v>
      </c>
      <c r="D263" s="262"/>
      <c r="E263" s="233"/>
      <c r="F263" s="231">
        <f>+INDEX('Budget original'!$A$2:$AO$496,MATCH($A263,'Budget original'!$A$2:$A$496,0),MATCH(F$2,'Budget original'!$A$2:$AO$2,0))</f>
        <v>157.75611451622987</v>
      </c>
      <c r="G263" s="283"/>
      <c r="H263" s="233"/>
      <c r="I263" s="231">
        <f>+INDEX('Budget révisé'!$A$2:$AO$496,MATCH($A263,'Budget révisé'!$A$2:$A$496,0),MATCH(I$2,'Budget révisé'!$A$2:$AO$2,0))</f>
        <v>157.75611451622987</v>
      </c>
      <c r="J263" s="227"/>
      <c r="K263" s="233"/>
      <c r="L263" s="281">
        <f>SUMIFS(BV_Data_An_Cour!$O:$O,BV_Data_An_Cour!$U:$U,$B263,BV_Data_An_Cour!$V:$V,$C263,BV_Data_An_Cour!$W:$W,$L$2)</f>
        <v>147.72</v>
      </c>
      <c r="M263" s="227"/>
      <c r="N263" s="232">
        <f t="shared" si="142"/>
        <v>-10.036114516229873</v>
      </c>
      <c r="O263" s="227"/>
      <c r="P263" s="233"/>
      <c r="Q263" s="281">
        <f>SUMIFS(BV_Data_An_Prec!$O:$O,BV_Data_An_Prec!$U:$U,$B263,BV_Data_An_Prec!$V:$V,$C263,BV_Data_An_Prec!$W:$W,$L$2)</f>
        <v>281.25</v>
      </c>
      <c r="R263" s="227"/>
      <c r="S263" s="284">
        <f t="shared" si="143"/>
        <v>-133.53</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7"/>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SUMIFS(BV_Data_An_Cour!$O:$O,BV_Data_An_Cour!$U:$U,$B264,BV_Data_An_Cour!$V:$V,$C264,BV_Data_An_Cour!$W:$W,$L$2)</f>
        <v>0</v>
      </c>
      <c r="M264" s="295"/>
      <c r="N264" s="296">
        <f t="shared" si="142"/>
        <v>0</v>
      </c>
      <c r="O264" s="295"/>
      <c r="P264" s="293"/>
      <c r="Q264" s="281">
        <f>SUMIFS(BV_Data_An_Prec!$O:$O,BV_Data_An_Prec!$U:$U,$B264,BV_Data_An_Prec!$V:$V,$C264,BV_Data_An_Prec!$W:$W,$L$2)</f>
        <v>0</v>
      </c>
      <c r="R264" s="295"/>
      <c r="S264" s="297">
        <f t="shared" si="143"/>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7"/>
        <v>CarrosserieTOTAL PERSONNEL</v>
      </c>
      <c r="B265" s="24" t="s">
        <v>171</v>
      </c>
      <c r="C265" s="298" t="s">
        <v>120</v>
      </c>
      <c r="D265" s="39" t="s">
        <v>111</v>
      </c>
      <c r="E265" s="40" t="e">
        <f>F265/F$243</f>
        <v>#DIV/0!</v>
      </c>
      <c r="F265" s="41">
        <f>+SUM(F253:F264)</f>
        <v>10616.98650694227</v>
      </c>
      <c r="G265" s="42" t="s">
        <v>111</v>
      </c>
      <c r="H265" s="40" t="e">
        <f>I265/I$243</f>
        <v>#DIV/0!</v>
      </c>
      <c r="I265" s="41">
        <f>+SUM(I253:I264)</f>
        <v>10616.98650694227</v>
      </c>
      <c r="J265" s="42" t="s">
        <v>111</v>
      </c>
      <c r="K265" s="40">
        <f>IF(L243=0,0,L265/L$243)</f>
        <v>0</v>
      </c>
      <c r="L265" s="41">
        <f>+SUM(L253:L264)</f>
        <v>9502.2800000000007</v>
      </c>
      <c r="M265" s="43"/>
      <c r="N265" s="46">
        <f t="shared" si="142"/>
        <v>-1114.7065069422697</v>
      </c>
      <c r="O265" s="42" t="s">
        <v>111</v>
      </c>
      <c r="P265" s="40">
        <f>IF(Q243=0,0,Q265/Q$243)</f>
        <v>0</v>
      </c>
      <c r="Q265" s="41">
        <f>+SUM(Q253:Q264)</f>
        <v>18232.39</v>
      </c>
      <c r="R265" s="43"/>
      <c r="S265" s="299">
        <f t="shared" ref="S265:S283" si="144">L265-Q265</f>
        <v>-8730.1099999999988</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7"/>
        <v>CarrosseriePublicité 2</v>
      </c>
      <c r="B266" s="24" t="s">
        <v>171</v>
      </c>
      <c r="C266" s="300" t="s">
        <v>121</v>
      </c>
      <c r="D266" s="301"/>
      <c r="E266" s="178"/>
      <c r="F266" s="179">
        <f>+INDEX('Budget original'!$A$2:$AO$496,MATCH($A266,'Budget original'!$A$2:$A$496,0),MATCH(F$2,'Budget original'!$A$2:$AO$2,0))</f>
        <v>0</v>
      </c>
      <c r="G266" s="302"/>
      <c r="H266" s="178"/>
      <c r="I266" s="179">
        <f>+INDEX('Budget révisé'!$A$2:$AO$496,MATCH($A266,'Budget révisé'!$A$2:$A$496,0),MATCH(I$2,'Budget révisé'!$A$2:$AO$2,0))</f>
        <v>0</v>
      </c>
      <c r="J266" s="303"/>
      <c r="K266" s="178"/>
      <c r="L266" s="281">
        <f>SUMIFS(BV_Data_An_Cour!$O:$O,BV_Data_An_Cour!$U:$U,$B266,BV_Data_An_Cour!$V:$V,$C266,BV_Data_An_Cour!$W:$W,$L$2)</f>
        <v>0.08</v>
      </c>
      <c r="M266" s="303"/>
      <c r="N266" s="304">
        <f t="shared" si="142"/>
        <v>0.08</v>
      </c>
      <c r="O266" s="303"/>
      <c r="P266" s="178"/>
      <c r="Q266" s="281">
        <f>SUMIFS(BV_Data_An_Prec!$O:$O,BV_Data_An_Prec!$U:$U,$B266,BV_Data_An_Prec!$V:$V,$C266,BV_Data_An_Prec!$W:$W,$L$2)</f>
        <v>0</v>
      </c>
      <c r="R266" s="303"/>
      <c r="S266" s="199">
        <f t="shared" si="144"/>
        <v>0.08</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7"/>
        <v>CarrosserieService gratuit 2</v>
      </c>
      <c r="B267" s="24" t="s">
        <v>171</v>
      </c>
      <c r="C267" s="305" t="s">
        <v>122</v>
      </c>
      <c r="D267" s="301"/>
      <c r="E267" s="178"/>
      <c r="F267" s="179">
        <f>+INDEX('Budget original'!$A$2:$AO$496,MATCH($A267,'Budget original'!$A$2:$A$496,0),MATCH(F$2,'Budget original'!$A$2:$AO$2,0))</f>
        <v>1304.3946029318499</v>
      </c>
      <c r="G267" s="302"/>
      <c r="H267" s="178"/>
      <c r="I267" s="179">
        <f>+INDEX('Budget révisé'!$A$2:$AO$496,MATCH($A267,'Budget révisé'!$A$2:$A$496,0),MATCH(I$2,'Budget révisé'!$A$2:$AO$2,0))</f>
        <v>1304.3946029318499</v>
      </c>
      <c r="J267" s="303"/>
      <c r="K267" s="178"/>
      <c r="L267" s="180">
        <f>SUMIFS(BV_Data_An_Cour!$O:$O,BV_Data_An_Cour!$U:$U,$B267,BV_Data_An_Cour!$V:$V,$C267,BV_Data_An_Cour!$W:$W,$L$2)</f>
        <v>187.47</v>
      </c>
      <c r="M267" s="303"/>
      <c r="N267" s="304">
        <f t="shared" si="142"/>
        <v>-1116.9246029318499</v>
      </c>
      <c r="O267" s="303"/>
      <c r="P267" s="178"/>
      <c r="Q267" s="180">
        <f>SUMIFS(BV_Data_An_Prec!$O:$O,BV_Data_An_Prec!$U:$U,$B267,BV_Data_An_Prec!$V:$V,$C267,BV_Data_An_Prec!$W:$W,$L$2)</f>
        <v>1164.1400000000001</v>
      </c>
      <c r="R267" s="303"/>
      <c r="S267" s="199">
        <f t="shared" si="144"/>
        <v>-976.67000000000007</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7"/>
        <v>CarrosserieFrais véhicules de cie</v>
      </c>
      <c r="B268" s="24" t="s">
        <v>171</v>
      </c>
      <c r="C268" s="306" t="s">
        <v>123</v>
      </c>
      <c r="D268" s="307"/>
      <c r="E268" s="308"/>
      <c r="F268" s="177">
        <f>+INDEX('Budget original'!$A$2:$AO$496,MATCH($A268,'Budget original'!$A$2:$A$496,0),MATCH(F$2,'Budget original'!$A$2:$AO$2,0))</f>
        <v>298.94</v>
      </c>
      <c r="G268" s="309"/>
      <c r="H268" s="308"/>
      <c r="I268" s="177">
        <f>+INDEX('Budget révisé'!$A$2:$AO$496,MATCH($A268,'Budget révisé'!$A$2:$A$496,0),MATCH(I$2,'Budget révisé'!$A$2:$AO$2,0))</f>
        <v>298.94</v>
      </c>
      <c r="J268" s="310"/>
      <c r="K268" s="308"/>
      <c r="L268" s="180">
        <f>SUMIFS(BV_Data_An_Cour!$O:$O,BV_Data_An_Cour!$U:$U,$B268,BV_Data_An_Cour!$V:$V,$C268,BV_Data_An_Cour!$W:$W,$L$2)</f>
        <v>478.35</v>
      </c>
      <c r="M268" s="310"/>
      <c r="N268" s="311">
        <f t="shared" si="142"/>
        <v>179.41000000000003</v>
      </c>
      <c r="O268" s="310"/>
      <c r="P268" s="308"/>
      <c r="Q268" s="180">
        <f>SUMIFS(BV_Data_An_Prec!$O:$O,BV_Data_An_Prec!$U:$U,$B268,BV_Data_An_Prec!$V:$V,$C268,BV_Data_An_Prec!$W:$W,$L$2)</f>
        <v>2096.14</v>
      </c>
      <c r="R268" s="310"/>
      <c r="S268" s="202">
        <f t="shared" si="144"/>
        <v>-1617.79</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7"/>
        <v>CarrosserieInformatique</v>
      </c>
      <c r="B269" s="24" t="s">
        <v>171</v>
      </c>
      <c r="C269" s="305" t="s">
        <v>124</v>
      </c>
      <c r="D269" s="301"/>
      <c r="E269" s="178"/>
      <c r="F269" s="179">
        <f>+INDEX('Budget original'!$A$2:$AO$496,MATCH($A269,'Budget original'!$A$2:$A$496,0),MATCH(F$2,'Budget original'!$A$2:$AO$2,0))</f>
        <v>1436.6179333333334</v>
      </c>
      <c r="G269" s="302"/>
      <c r="H269" s="178"/>
      <c r="I269" s="179">
        <f>+INDEX('Budget révisé'!$A$2:$AO$496,MATCH($A269,'Budget révisé'!$A$2:$A$496,0),MATCH(I$2,'Budget révisé'!$A$2:$AO$2,0))</f>
        <v>1436.6179333333334</v>
      </c>
      <c r="J269" s="303"/>
      <c r="K269" s="178"/>
      <c r="L269" s="181">
        <f>SUMIFS(BV_Data_An_Cour!$O:$O,BV_Data_An_Cour!$U:$U,$B269,BV_Data_An_Cour!$V:$V,$C269,BV_Data_An_Cour!$W:$W,$L$2)</f>
        <v>1475.95</v>
      </c>
      <c r="M269" s="303"/>
      <c r="N269" s="304">
        <f t="shared" si="142"/>
        <v>39.332066666666606</v>
      </c>
      <c r="O269" s="303"/>
      <c r="P269" s="178"/>
      <c r="Q269" s="181">
        <f>SUMIFS(BV_Data_An_Prec!$O:$O,BV_Data_An_Prec!$U:$U,$B269,BV_Data_An_Prec!$V:$V,$C269,BV_Data_An_Prec!$W:$W,$L$2)</f>
        <v>975.78</v>
      </c>
      <c r="R269" s="303"/>
      <c r="S269" s="199">
        <f t="shared" si="144"/>
        <v>500.17000000000007</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7"/>
        <v>CarrosserieFrais de déplacement</v>
      </c>
      <c r="B270" s="24" t="s">
        <v>171</v>
      </c>
      <c r="C270" s="305" t="s">
        <v>125</v>
      </c>
      <c r="D270" s="301"/>
      <c r="E270" s="178"/>
      <c r="F270" s="179">
        <f>+INDEX('Budget original'!$A$2:$AO$496,MATCH($A270,'Budget original'!$A$2:$A$496,0),MATCH(F$2,'Budget original'!$A$2:$AO$2,0))</f>
        <v>349.23367500000001</v>
      </c>
      <c r="G270" s="302"/>
      <c r="H270" s="178"/>
      <c r="I270" s="179">
        <f>+INDEX('Budget révisé'!$A$2:$AO$496,MATCH($A270,'Budget révisé'!$A$2:$A$496,0),MATCH(I$2,'Budget révisé'!$A$2:$AO$2,0))</f>
        <v>349.23367500000001</v>
      </c>
      <c r="J270" s="303"/>
      <c r="K270" s="178"/>
      <c r="L270" s="180">
        <f>SUMIFS(BV_Data_An_Cour!$O:$O,BV_Data_An_Cour!$U:$U,$B270,BV_Data_An_Cour!$V:$V,$C270,BV_Data_An_Cour!$W:$W,$L$2)</f>
        <v>244.91</v>
      </c>
      <c r="M270" s="303"/>
      <c r="N270" s="304">
        <f t="shared" si="142"/>
        <v>-104.32367500000001</v>
      </c>
      <c r="O270" s="303"/>
      <c r="P270" s="178"/>
      <c r="Q270" s="180">
        <f>SUMIFS(BV_Data_An_Prec!$O:$O,BV_Data_An_Prec!$U:$U,$B270,BV_Data_An_Prec!$V:$V,$C270,BV_Data_An_Prec!$W:$W,$L$2)</f>
        <v>425.39</v>
      </c>
      <c r="R270" s="303"/>
      <c r="S270" s="199">
        <f t="shared" si="144"/>
        <v>-180.48</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7"/>
        <v>CarrosserieServices extérieurs</v>
      </c>
      <c r="B271" s="24" t="s">
        <v>171</v>
      </c>
      <c r="C271" s="305" t="s">
        <v>126</v>
      </c>
      <c r="D271" s="307"/>
      <c r="E271" s="308"/>
      <c r="F271" s="177">
        <f>+INDEX('Budget original'!$A$2:$AO$496,MATCH($A271,'Budget original'!$A$2:$A$496,0),MATCH(F$2,'Budget original'!$A$2:$AO$2,0))</f>
        <v>1024.7769583333334</v>
      </c>
      <c r="G271" s="309"/>
      <c r="H271" s="308"/>
      <c r="I271" s="177">
        <f>+INDEX('Budget révisé'!$A$2:$AO$496,MATCH($A271,'Budget révisé'!$A$2:$A$496,0),MATCH(I$2,'Budget révisé'!$A$2:$AO$2,0))</f>
        <v>1024.7769583333334</v>
      </c>
      <c r="J271" s="310"/>
      <c r="K271" s="308"/>
      <c r="L271" s="180">
        <f>SUMIFS(BV_Data_An_Cour!$O:$O,BV_Data_An_Cour!$U:$U,$B271,BV_Data_An_Cour!$V:$V,$C271,BV_Data_An_Cour!$W:$W,$L$2)</f>
        <v>619.99</v>
      </c>
      <c r="M271" s="310"/>
      <c r="N271" s="311">
        <f t="shared" si="142"/>
        <v>-404.78695833333336</v>
      </c>
      <c r="O271" s="310"/>
      <c r="P271" s="308"/>
      <c r="Q271" s="180">
        <f>SUMIFS(BV_Data_An_Prec!$O:$O,BV_Data_An_Prec!$U:$U,$B271,BV_Data_An_Prec!$V:$V,$C271,BV_Data_An_Prec!$W:$W,$L$2)</f>
        <v>966.81</v>
      </c>
      <c r="R271" s="310"/>
      <c r="S271" s="202">
        <f t="shared" si="144"/>
        <v>-346.81999999999994</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tr">
        <f t="shared" ref="A272" si="145">+B272&amp;C272</f>
        <v>CarrosserieFournitures d'atelier</v>
      </c>
      <c r="B272" s="24" t="s">
        <v>171</v>
      </c>
      <c r="C272" s="688" t="s">
        <v>1996</v>
      </c>
      <c r="D272" s="301"/>
      <c r="E272" s="178"/>
      <c r="F272" s="179"/>
      <c r="G272" s="302"/>
      <c r="H272" s="178"/>
      <c r="I272" s="179"/>
      <c r="J272" s="303"/>
      <c r="K272" s="178"/>
      <c r="L272" s="429">
        <f>SUMIFS(BV_Data_An_Cour!$O:$O,BV_Data_An_Cour!$U:$U,$B272,BV_Data_An_Cour!$V:$V,$C272,BV_Data_An_Cour!$W:$W,$L$2)</f>
        <v>0</v>
      </c>
      <c r="M272" s="303"/>
      <c r="N272" s="304">
        <f t="shared" ref="N272" si="146">L272-I272</f>
        <v>0</v>
      </c>
      <c r="O272" s="303"/>
      <c r="P272" s="178"/>
      <c r="Q272" s="180">
        <f>SUMIFS(BV_Data_An_Prec!$O:$O,BV_Data_An_Prec!$U:$U,$B272,BV_Data_An_Prec!$V:$V,$C272,BV_Data_An_Prec!$W:$W,$L$2)</f>
        <v>0</v>
      </c>
      <c r="R272" s="303"/>
      <c r="S272" s="199">
        <f t="shared" ref="S272" si="147">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7"/>
        <v>CarrosserieFournitures autres</v>
      </c>
      <c r="B273" s="24" t="s">
        <v>171</v>
      </c>
      <c r="C273" s="305" t="s">
        <v>127</v>
      </c>
      <c r="D273" s="301"/>
      <c r="E273" s="178"/>
      <c r="F273" s="179">
        <f>+INDEX('Budget original'!$A$2:$AO$496,MATCH($A273,'Budget original'!$A$2:$A$496,0),MATCH(F$2,'Budget original'!$A$2:$AO$2,0))</f>
        <v>0</v>
      </c>
      <c r="G273" s="302"/>
      <c r="H273" s="178"/>
      <c r="I273" s="179">
        <f>+INDEX('Budget révisé'!$A$2:$AO$496,MATCH($A273,'Budget révisé'!$A$2:$A$496,0),MATCH(I$2,'Budget révisé'!$A$2:$AO$2,0))</f>
        <v>0</v>
      </c>
      <c r="J273" s="303"/>
      <c r="K273" s="178"/>
      <c r="L273" s="281">
        <f>SUMIFS(BV_Data_An_Cour!$O:$O,BV_Data_An_Cour!$U:$U,$B273,BV_Data_An_Cour!$V:$V,$C273,BV_Data_An_Cour!$W:$W,$L$2)</f>
        <v>0</v>
      </c>
      <c r="M273" s="303"/>
      <c r="N273" s="304">
        <f t="shared" si="142"/>
        <v>0</v>
      </c>
      <c r="O273" s="303"/>
      <c r="P273" s="178"/>
      <c r="Q273" s="180">
        <f>SUMIFS(BV_Data_An_Prec!$O:$O,BV_Data_An_Prec!$U:$U,$B273,BV_Data_An_Prec!$V:$V,$C273,BV_Data_An_Prec!$W:$W,$L$2)</f>
        <v>0</v>
      </c>
      <c r="R273" s="303"/>
      <c r="S273" s="199">
        <f t="shared" si="144"/>
        <v>0</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7"/>
        <v>CarrosserieUniformes</v>
      </c>
      <c r="B274" s="24" t="s">
        <v>171</v>
      </c>
      <c r="C274" s="305" t="s">
        <v>128</v>
      </c>
      <c r="D274" s="301"/>
      <c r="E274" s="178"/>
      <c r="F274" s="179">
        <f>+INDEX('Budget original'!$A$2:$AO$496,MATCH($A274,'Budget original'!$A$2:$A$496,0),MATCH(F$2,'Budget original'!$A$2:$AO$2,0))</f>
        <v>0</v>
      </c>
      <c r="G274" s="302"/>
      <c r="H274" s="178"/>
      <c r="I274" s="179">
        <f>+INDEX('Budget révisé'!$A$2:$AO$496,MATCH($A274,'Budget révisé'!$A$2:$A$496,0),MATCH(I$2,'Budget révisé'!$A$2:$AO$2,0))</f>
        <v>0</v>
      </c>
      <c r="J274" s="303"/>
      <c r="K274" s="178"/>
      <c r="L274" s="281">
        <f>SUMIFS(BV_Data_An_Cour!$O:$O,BV_Data_An_Cour!$U:$U,$B274,BV_Data_An_Cour!$V:$V,$C274,BV_Data_An_Cour!$W:$W,$L$2)</f>
        <v>0</v>
      </c>
      <c r="M274" s="303"/>
      <c r="N274" s="304">
        <f t="shared" si="142"/>
        <v>0</v>
      </c>
      <c r="O274" s="303"/>
      <c r="P274" s="178"/>
      <c r="Q274" s="180">
        <f>SUMIFS(BV_Data_An_Prec!$O:$O,BV_Data_An_Prec!$U:$U,$B274,BV_Data_An_Prec!$V:$V,$C274,BV_Data_An_Prec!$W:$W,$L$2)</f>
        <v>0</v>
      </c>
      <c r="R274" s="303"/>
      <c r="S274" s="199">
        <f t="shared" si="144"/>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7"/>
        <v>CarrosseriePapeterie</v>
      </c>
      <c r="B275" s="24" t="s">
        <v>171</v>
      </c>
      <c r="C275" s="305" t="s">
        <v>129</v>
      </c>
      <c r="D275" s="301"/>
      <c r="E275" s="178"/>
      <c r="F275" s="179">
        <f>+INDEX('Budget original'!$A$2:$AO$496,MATCH($A275,'Budget original'!$A$2:$A$496,0),MATCH(F$2,'Budget original'!$A$2:$AO$2,0))</f>
        <v>152.60000000000002</v>
      </c>
      <c r="G275" s="302"/>
      <c r="H275" s="178"/>
      <c r="I275" s="179">
        <f>+INDEX('Budget révisé'!$A$2:$AO$496,MATCH($A275,'Budget révisé'!$A$2:$A$496,0),MATCH(I$2,'Budget révisé'!$A$2:$AO$2,0))</f>
        <v>152.60000000000002</v>
      </c>
      <c r="J275" s="303"/>
      <c r="K275" s="178"/>
      <c r="L275" s="984">
        <f>SUMIFS(BV_Data_An_Cour!$O:$O,BV_Data_An_Cour!$U:$U,$B275,BV_Data_An_Cour!$V:$V,$C275,BV_Data_An_Cour!$W:$W,$L$2)</f>
        <v>102.09</v>
      </c>
      <c r="M275" s="303"/>
      <c r="N275" s="304">
        <f t="shared" si="142"/>
        <v>-50.510000000000019</v>
      </c>
      <c r="O275" s="303"/>
      <c r="P275" s="178"/>
      <c r="Q275" s="554">
        <f>SUMIFS(BV_Data_An_Prec!$O:$O,BV_Data_An_Prec!$U:$U,$B275,BV_Data_An_Prec!$V:$V,$C275,BV_Data_An_Prec!$W:$W,$L$2)</f>
        <v>129.5</v>
      </c>
      <c r="R275" s="303"/>
      <c r="S275" s="199">
        <f t="shared" si="144"/>
        <v>-27.409999999999997</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7"/>
        <v>CarrosserieTéléphone</v>
      </c>
      <c r="B276" s="24" t="s">
        <v>171</v>
      </c>
      <c r="C276" s="305" t="s">
        <v>130</v>
      </c>
      <c r="D276" s="301"/>
      <c r="E276" s="178"/>
      <c r="F276" s="179">
        <f>+INDEX('Budget original'!$A$2:$AO$496,MATCH($A276,'Budget original'!$A$2:$A$496,0),MATCH(F$2,'Budget original'!$A$2:$AO$2,0))</f>
        <v>177.637</v>
      </c>
      <c r="G276" s="302"/>
      <c r="H276" s="178"/>
      <c r="I276" s="179">
        <f>+INDEX('Budget révisé'!$A$2:$AO$496,MATCH($A276,'Budget révisé'!$A$2:$A$496,0),MATCH(I$2,'Budget révisé'!$A$2:$AO$2,0))</f>
        <v>177.637</v>
      </c>
      <c r="J276" s="303"/>
      <c r="K276" s="178"/>
      <c r="L276" s="281">
        <f>SUMIFS(BV_Data_An_Cour!$O:$O,BV_Data_An_Cour!$U:$U,$B276,BV_Data_An_Cour!$V:$V,$C276,BV_Data_An_Cour!$W:$W,$L$2)</f>
        <v>19.510000000000002</v>
      </c>
      <c r="M276" s="303"/>
      <c r="N276" s="304">
        <f t="shared" si="142"/>
        <v>-158.12700000000001</v>
      </c>
      <c r="O276" s="303"/>
      <c r="P276" s="178"/>
      <c r="Q276" s="180">
        <f>SUMIFS(BV_Data_An_Prec!$O:$O,BV_Data_An_Prec!$U:$U,$B276,BV_Data_An_Prec!$V:$V,$C276,BV_Data_An_Prec!$W:$W,$L$2)</f>
        <v>129.12</v>
      </c>
      <c r="R276" s="303"/>
      <c r="S276" s="199">
        <f t="shared" si="144"/>
        <v>-109.61</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7"/>
        <v>CarrosserieFrais postaux</v>
      </c>
      <c r="B277" s="24" t="s">
        <v>171</v>
      </c>
      <c r="C277" s="305" t="s">
        <v>131</v>
      </c>
      <c r="D277" s="301"/>
      <c r="E277" s="178"/>
      <c r="F277" s="179">
        <f>+INDEX('Budget original'!$A$2:$AO$496,MATCH($A277,'Budget original'!$A$2:$A$496,0),MATCH(F$2,'Budget original'!$A$2:$AO$2,0))</f>
        <v>60.550000000000004</v>
      </c>
      <c r="G277" s="302"/>
      <c r="H277" s="178"/>
      <c r="I277" s="179">
        <f>+INDEX('Budget révisé'!$A$2:$AO$496,MATCH($A277,'Budget révisé'!$A$2:$A$496,0),MATCH(I$2,'Budget révisé'!$A$2:$AO$2,0))</f>
        <v>60.550000000000004</v>
      </c>
      <c r="J277" s="303"/>
      <c r="K277" s="178"/>
      <c r="L277" s="281">
        <f>SUMIFS(BV_Data_An_Cour!$O:$O,BV_Data_An_Cour!$U:$U,$B277,BV_Data_An_Cour!$V:$V,$C277,BV_Data_An_Cour!$W:$W,$L$2)</f>
        <v>53.06</v>
      </c>
      <c r="M277" s="303"/>
      <c r="N277" s="304">
        <f t="shared" si="142"/>
        <v>-7.490000000000002</v>
      </c>
      <c r="O277" s="303"/>
      <c r="P277" s="178"/>
      <c r="Q277" s="180">
        <f>SUMIFS(BV_Data_An_Prec!$O:$O,BV_Data_An_Prec!$U:$U,$B277,BV_Data_An_Prec!$V:$V,$C277,BV_Data_An_Prec!$W:$W,$L$2)</f>
        <v>28.54</v>
      </c>
      <c r="R277" s="303"/>
      <c r="S277" s="199">
        <f t="shared" si="144"/>
        <v>24.520000000000003</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7"/>
        <v>CarrosserieDivers</v>
      </c>
      <c r="B278" s="24" t="s">
        <v>171</v>
      </c>
      <c r="C278" s="305" t="s">
        <v>132</v>
      </c>
      <c r="D278" s="301"/>
      <c r="E278" s="178"/>
      <c r="F278" s="179">
        <f>+INDEX('Budget original'!$A$2:$AO$496,MATCH($A278,'Budget original'!$A$2:$A$496,0),MATCH(F$2,'Budget original'!$A$2:$AO$2,0))</f>
        <v>251.37000000000003</v>
      </c>
      <c r="G278" s="302"/>
      <c r="H278" s="178"/>
      <c r="I278" s="179">
        <f>+INDEX('Budget révisé'!$A$2:$AO$496,MATCH($A278,'Budget révisé'!$A$2:$A$496,0),MATCH(I$2,'Budget révisé'!$A$2:$AO$2,0))</f>
        <v>251.37000000000003</v>
      </c>
      <c r="J278" s="303"/>
      <c r="K278" s="178"/>
      <c r="L278" s="281">
        <f>SUMIFS(BV_Data_An_Cour!$O:$O,BV_Data_An_Cour!$U:$U,$B278,BV_Data_An_Cour!$V:$V,$C278,BV_Data_An_Cour!$W:$W,$L$2)</f>
        <v>175.81</v>
      </c>
      <c r="M278" s="303"/>
      <c r="N278" s="304">
        <f t="shared" si="142"/>
        <v>-75.560000000000031</v>
      </c>
      <c r="O278" s="303"/>
      <c r="P278" s="178"/>
      <c r="Q278" s="180">
        <f>SUMIFS(BV_Data_An_Prec!$O:$O,BV_Data_An_Prec!$U:$U,$B278,BV_Data_An_Prec!$V:$V,$C278,BV_Data_An_Prec!$W:$W,$L$2)</f>
        <v>357</v>
      </c>
      <c r="R278" s="303"/>
      <c r="S278" s="199">
        <f t="shared" si="144"/>
        <v>-181.19</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7"/>
        <v>CarrosserieFormation</v>
      </c>
      <c r="B279" s="24" t="s">
        <v>171</v>
      </c>
      <c r="C279" s="305" t="s">
        <v>133</v>
      </c>
      <c r="D279" s="301"/>
      <c r="E279" s="178"/>
      <c r="F279" s="179">
        <f>+INDEX('Budget original'!$A$2:$AO$496,MATCH($A279,'Budget original'!$A$2:$A$496,0),MATCH(F$2,'Budget original'!$A$2:$AO$2,0))</f>
        <v>41.200833333333343</v>
      </c>
      <c r="G279" s="302"/>
      <c r="H279" s="178"/>
      <c r="I279" s="179">
        <f>+INDEX('Budget révisé'!$A$2:$AO$496,MATCH($A279,'Budget révisé'!$A$2:$A$496,0),MATCH(I$2,'Budget révisé'!$A$2:$AO$2,0))</f>
        <v>41.200833333333343</v>
      </c>
      <c r="J279" s="303"/>
      <c r="K279" s="178"/>
      <c r="L279" s="281">
        <f>SUMIFS(BV_Data_An_Cour!$O:$O,BV_Data_An_Cour!$U:$U,$B279,BV_Data_An_Cour!$V:$V,$C279,BV_Data_An_Cour!$W:$W,$L$2)</f>
        <v>6.2</v>
      </c>
      <c r="M279" s="303"/>
      <c r="N279" s="304">
        <f t="shared" si="142"/>
        <v>-35.00083333333334</v>
      </c>
      <c r="O279" s="303"/>
      <c r="P279" s="178"/>
      <c r="Q279" s="180">
        <f>SUMIFS(BV_Data_An_Prec!$O:$O,BV_Data_An_Prec!$U:$U,$B279,BV_Data_An_Prec!$V:$V,$C279,BV_Data_An_Prec!$W:$W,$L$2)</f>
        <v>35</v>
      </c>
      <c r="R279" s="303"/>
      <c r="S279" s="199">
        <f t="shared" si="144"/>
        <v>-28.8</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7"/>
        <v>CarrosserieFrais bancaires</v>
      </c>
      <c r="B280" s="24" t="s">
        <v>171</v>
      </c>
      <c r="C280" s="305" t="s">
        <v>134</v>
      </c>
      <c r="D280" s="301"/>
      <c r="E280" s="178"/>
      <c r="F280" s="231">
        <f>+INDEX('Budget original'!$A$2:$AO$496,MATCH($A280,'Budget original'!$A$2:$A$496,0),MATCH(F$2,'Budget original'!$A$2:$AO$2,0))</f>
        <v>500.36392811388669</v>
      </c>
      <c r="G280" s="302"/>
      <c r="H280" s="178"/>
      <c r="I280" s="179">
        <f>+INDEX('Budget révisé'!$A$2:$AO$496,MATCH($A280,'Budget révisé'!$A$2:$A$496,0),MATCH(I$2,'Budget révisé'!$A$2:$AO$2,0))</f>
        <v>500.36392811388669</v>
      </c>
      <c r="J280" s="303"/>
      <c r="K280" s="178"/>
      <c r="L280" s="281">
        <f>AF447*W6</f>
        <v>176.00200000000001</v>
      </c>
      <c r="M280" s="303"/>
      <c r="N280" s="304">
        <f t="shared" si="142"/>
        <v>-324.36192811388668</v>
      </c>
      <c r="O280" s="303"/>
      <c r="P280" s="178"/>
      <c r="Q280" s="281">
        <f>AL447*W6</f>
        <v>166.79700000000003</v>
      </c>
      <c r="R280" s="303"/>
      <c r="S280" s="199">
        <f t="shared" si="144"/>
        <v>9.2049999999999841</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7"/>
        <v>Carrosserie[...]</v>
      </c>
      <c r="B281" s="24" t="s">
        <v>171</v>
      </c>
      <c r="C281" s="305" t="s">
        <v>42</v>
      </c>
      <c r="D281" s="301"/>
      <c r="E281" s="178"/>
      <c r="F281" s="179">
        <f>+INDEX('Budget original'!$A$2:$AO$496,MATCH($A281,'Budget original'!$A$2:$A$496,0),MATCH(F$2,'Budget original'!$A$2:$AO$2,0))</f>
        <v>0</v>
      </c>
      <c r="G281" s="302"/>
      <c r="H281" s="178"/>
      <c r="I281" s="179">
        <f>+INDEX('Budget révisé'!$A$2:$AO$496,MATCH($A281,'Budget révisé'!$A$2:$A$496,0),MATCH(I$2,'Budget révisé'!$A$2:$AO$2,0))</f>
        <v>0</v>
      </c>
      <c r="J281" s="303"/>
      <c r="K281" s="178"/>
      <c r="L281" s="180">
        <f>SUMIFS(BV_Data_An_Cour!$O:$O,BV_Data_An_Cour!$U:$U,$B281,BV_Data_An_Cour!$V:$V,$C281,BV_Data_An_Cour!$W:$W,$L$2)</f>
        <v>0</v>
      </c>
      <c r="M281" s="303"/>
      <c r="N281" s="304">
        <f t="shared" si="142"/>
        <v>0</v>
      </c>
      <c r="O281" s="303"/>
      <c r="P281" s="178"/>
      <c r="Q281" s="180">
        <f>SUMIFS(BV_Data_An_Prec!$O:$O,BV_Data_An_Prec!$U:$U,$B281,BV_Data_An_Prec!$V:$V,$C281,BV_Data_An_Prec!$W:$W,$L$2)</f>
        <v>0</v>
      </c>
      <c r="R281" s="303"/>
      <c r="S281" s="199">
        <f t="shared" si="144"/>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tr">
        <f t="shared" ref="A282" si="148">+B282&amp;C282</f>
        <v>Carrosserie[...]</v>
      </c>
      <c r="B282" s="24" t="s">
        <v>171</v>
      </c>
      <c r="C282" s="305" t="s">
        <v>42</v>
      </c>
      <c r="D282" s="301"/>
      <c r="E282" s="178"/>
      <c r="F282" s="179">
        <f>+INDEX('Budget original'!$A$2:$AO$496,MATCH($A282,'Budget original'!$A$2:$A$496,0),MATCH(F$2,'Budget original'!$A$2:$AO$2,0))</f>
        <v>0</v>
      </c>
      <c r="G282" s="302"/>
      <c r="H282" s="178"/>
      <c r="I282" s="179">
        <f>+INDEX('Budget révisé'!$A$2:$AO$496,MATCH($A282,'Budget révisé'!$A$2:$A$496,0),MATCH(I$2,'Budget révisé'!$A$2:$AO$2,0))</f>
        <v>0</v>
      </c>
      <c r="J282" s="303"/>
      <c r="K282" s="178"/>
      <c r="L282" s="180">
        <f>SUMIFS(BV_Data_An_Cour!$O:$O,BV_Data_An_Cour!$U:$U,$B282,BV_Data_An_Cour!$V:$V,$C282,BV_Data_An_Cour!$W:$W,$L$2)</f>
        <v>0</v>
      </c>
      <c r="M282" s="303"/>
      <c r="N282" s="304">
        <f t="shared" ref="N282" si="149">L282-I282</f>
        <v>0</v>
      </c>
      <c r="O282" s="303"/>
      <c r="P282" s="178"/>
      <c r="Q282" s="180">
        <f>SUMIFS(BV_Data_An_Prec!$O:$O,BV_Data_An_Prec!$U:$U,$B282,BV_Data_An_Prec!$V:$V,$C282,BV_Data_An_Prec!$W:$W,$L$2)</f>
        <v>0</v>
      </c>
      <c r="R282" s="303"/>
      <c r="S282" s="199">
        <f t="shared" ref="S282" si="150">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7"/>
        <v>Carrosserie[...]</v>
      </c>
      <c r="B283" s="24" t="s">
        <v>171</v>
      </c>
      <c r="C283" s="305" t="s">
        <v>42</v>
      </c>
      <c r="D283" s="301"/>
      <c r="E283" s="178"/>
      <c r="F283" s="179">
        <f>+INDEX('Budget original'!$A$2:$AO$496,MATCH($A283,'Budget original'!$A$2:$A$496,0),MATCH(F$2,'Budget original'!$A$2:$AO$2,0))</f>
        <v>0</v>
      </c>
      <c r="G283" s="302"/>
      <c r="H283" s="178"/>
      <c r="I283" s="179">
        <f>+INDEX('Budget révisé'!$A$2:$AO$496,MATCH($A283,'Budget révisé'!$A$2:$A$496,0),MATCH(I$2,'Budget révisé'!$A$2:$AO$2,0))</f>
        <v>0</v>
      </c>
      <c r="J283" s="303"/>
      <c r="K283" s="178"/>
      <c r="L283" s="180">
        <f>SUMIFS(BV_Data_An_Cour!$O:$O,BV_Data_An_Cour!$U:$U,$B283,BV_Data_An_Cour!$V:$V,$C283,BV_Data_An_Cour!$W:$W,$L$2)</f>
        <v>0</v>
      </c>
      <c r="M283" s="303"/>
      <c r="N283" s="304">
        <f t="shared" si="142"/>
        <v>0</v>
      </c>
      <c r="O283" s="303"/>
      <c r="P283" s="178"/>
      <c r="Q283" s="180">
        <f>SUMIFS(BV_Data_An_Prec!$O:$O,BV_Data_An_Prec!$U:$U,$B283,BV_Data_An_Prec!$V:$V,$C283,BV_Data_An_Prec!$W:$W,$L$2)</f>
        <v>0</v>
      </c>
      <c r="R283" s="303"/>
      <c r="S283" s="199">
        <f t="shared" si="144"/>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5597.6849310457374</v>
      </c>
      <c r="G284" s="42" t="s">
        <v>111</v>
      </c>
      <c r="H284" s="40" t="e">
        <f>I284/I$243</f>
        <v>#DIV/0!</v>
      </c>
      <c r="I284" s="41">
        <f>+SUM(I266:I283)</f>
        <v>5597.6849310457374</v>
      </c>
      <c r="J284" s="42" t="s">
        <v>111</v>
      </c>
      <c r="K284" s="40" t="e">
        <f>IF(L261=0,0,L284/L$243)</f>
        <v>#DIV/0!</v>
      </c>
      <c r="L284" s="41">
        <f>+SUM(L266:L283)</f>
        <v>3539.422</v>
      </c>
      <c r="M284" s="44"/>
      <c r="N284" s="41">
        <f>+SUM(N266:N283)</f>
        <v>-2058.2629310457364</v>
      </c>
      <c r="O284" s="42" t="s">
        <v>111</v>
      </c>
      <c r="P284" s="40" t="e">
        <f>IF(Q261=0,0,Q284/Q$243)</f>
        <v>#DIV/0!</v>
      </c>
      <c r="Q284" s="41">
        <f>+SUM(Q266:Q283)</f>
        <v>6474.2170000000006</v>
      </c>
      <c r="R284" s="44"/>
      <c r="S284" s="316">
        <f t="shared" ref="S284" si="151">L284-Q284</f>
        <v>-2934.7950000000005</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16214.671437988007</v>
      </c>
      <c r="G286" s="42" t="s">
        <v>111</v>
      </c>
      <c r="H286" s="40" t="e">
        <f>I286/I$243</f>
        <v>#DIV/0!</v>
      </c>
      <c r="I286" s="41">
        <f>I265+I284</f>
        <v>16214.671437988007</v>
      </c>
      <c r="J286" s="42" t="s">
        <v>111</v>
      </c>
      <c r="K286" s="40" t="e">
        <f>IF(L263=0,0,L286/L$243)</f>
        <v>#DIV/0!</v>
      </c>
      <c r="L286" s="41">
        <f>L265+L284</f>
        <v>13041.702000000001</v>
      </c>
      <c r="M286" s="44"/>
      <c r="N286" s="46">
        <f t="shared" ref="N286:N288" si="152">L286-I286</f>
        <v>-3172.9694379880057</v>
      </c>
      <c r="O286" s="42" t="s">
        <v>111</v>
      </c>
      <c r="P286" s="40" t="e">
        <f>IF(Q263=0,0,Q286/Q$243)</f>
        <v>#DIV/0!</v>
      </c>
      <c r="Q286" s="41">
        <f>Q265+Q284</f>
        <v>24706.607</v>
      </c>
      <c r="R286" s="44"/>
      <c r="S286" s="299">
        <f>L286-Q286</f>
        <v>-11664.904999999999</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52"/>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29.25" customHeight="1" thickBot="1">
      <c r="B288" s="24"/>
      <c r="C288" s="340" t="s">
        <v>143</v>
      </c>
      <c r="D288" s="341"/>
      <c r="E288" s="342"/>
      <c r="F288" s="343">
        <f>F249-F286</f>
        <v>7149.7281709818781</v>
      </c>
      <c r="G288" s="344"/>
      <c r="H288" s="342"/>
      <c r="I288" s="343">
        <f>I249-I286</f>
        <v>7149.7281709818781</v>
      </c>
      <c r="J288" s="345"/>
      <c r="K288" s="346"/>
      <c r="L288" s="343">
        <f>L249-L286</f>
        <v>503.7880000000041</v>
      </c>
      <c r="M288" s="345"/>
      <c r="N288" s="343">
        <f t="shared" si="152"/>
        <v>-6645.940170981874</v>
      </c>
      <c r="O288" s="345"/>
      <c r="P288" s="346"/>
      <c r="Q288" s="343">
        <f>Q249-Q286</f>
        <v>7283.5130000000026</v>
      </c>
      <c r="R288" s="345"/>
      <c r="S288" s="347">
        <f>L288-Q288</f>
        <v>-6779.7249999999985</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Juillet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61" t="s">
        <v>77</v>
      </c>
      <c r="E292" s="1162"/>
      <c r="F292" s="1163"/>
      <c r="G292" s="1164" t="s">
        <v>145</v>
      </c>
      <c r="H292" s="1162"/>
      <c r="I292" s="1163"/>
      <c r="J292" s="1164" t="s">
        <v>79</v>
      </c>
      <c r="K292" s="1162"/>
      <c r="L292" s="1163"/>
      <c r="M292" s="1164" t="s">
        <v>80</v>
      </c>
      <c r="N292" s="1163"/>
      <c r="O292" s="1161" t="s">
        <v>81</v>
      </c>
      <c r="P292" s="1162"/>
      <c r="Q292" s="1163"/>
      <c r="R292" s="1164" t="s">
        <v>82</v>
      </c>
      <c r="S292" s="1165"/>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53">+B293&amp;C293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53"/>
        <v>PiècesPièces Ro Clients</v>
      </c>
      <c r="B294" s="24" t="s">
        <v>175</v>
      </c>
      <c r="C294" s="264" t="s">
        <v>177</v>
      </c>
      <c r="D294" s="197">
        <f>+INDEX('Budget original'!$A$2:$AO$496,MATCH($A294,'Budget original'!$A$2:$A$496,0),MATCH(D$2,'Budget original'!$A$2:$AO$2,0))</f>
        <v>60661.32114266479</v>
      </c>
      <c r="E294" s="210">
        <f>IF(D294=0,0,F294/D294)</f>
        <v>0.35812717564768926</v>
      </c>
      <c r="F294" s="199">
        <f>+INDEX('Budget original'!$A$2:$AO$496,MATCH($A294,'Budget original'!$A$2:$A$496,0),MATCH(F$2,'Budget original'!$A$2:$AO$2,0))</f>
        <v>21724.467611879998</v>
      </c>
      <c r="G294" s="197">
        <f>+INDEX('Budget révisé'!$A$2:$AO$496,MATCH($A294,'Budget révisé'!$A$2:$A$496,0),MATCH(G$2,'Budget révisé'!$A$2:$AO$2,0))</f>
        <v>60661.32114266479</v>
      </c>
      <c r="H294" s="210">
        <f>IF(G294=0,0,I294/G294)</f>
        <v>0.35812717564768926</v>
      </c>
      <c r="I294" s="199">
        <f>+INDEX('Budget révisé'!$A$2:$AO$496,MATCH($A294,'Budget révisé'!$A$2:$A$496,0),MATCH(I$2,'Budget révisé'!$A$2:$AO$2,0))</f>
        <v>21724.467611879998</v>
      </c>
      <c r="J294" s="179">
        <f>-SUMIFS(BV_Data_An_Cour!$O:$O,BV_Data_An_Cour!$X:$X,"Oui",BV_Data_An_Cour!$U:$U,$B294,BV_Data_An_Cour!$V:$V,$C294)</f>
        <v>73917.490000000005</v>
      </c>
      <c r="K294" s="210">
        <f t="shared" ref="K294:K299" si="154">IF(J294&lt;=0,0,L294/J294)</f>
        <v>0.33315227559810279</v>
      </c>
      <c r="L294" s="180">
        <f>-SUMIFS(BV_Data_An_Cour!$O:$O,BV_Data_An_Cour!$U:$U,$B294,BV_Data_An_Cour!$V:$V,$C294,BV_Data_An_Cour!$W:$W,$L$2)</f>
        <v>24625.78000000001</v>
      </c>
      <c r="M294" s="324">
        <f t="shared" ref="M294:M299" si="155">(+J294-G294)/G294</f>
        <v>0.21852753299188835</v>
      </c>
      <c r="N294" s="304">
        <f t="shared" ref="N294:N299" si="156">L294-I294</f>
        <v>2901.3123881200117</v>
      </c>
      <c r="O294" s="179">
        <f>-SUMIFS(BV_Data_An_Prec!$O:$O,BV_Data_An_Prec!$X:$X,"Oui",BV_Data_An_Prec!$U:$U,$B294,BV_Data_An_Prec!$V:$V,$C294)</f>
        <v>76063.740000000005</v>
      </c>
      <c r="P294" s="210">
        <f t="shared" ref="P294:P303" si="157">IF(O294&lt;=0,0,Q294/O294)</f>
        <v>0.29650343251593997</v>
      </c>
      <c r="Q294" s="180">
        <f>-SUMIFS(BV_Data_An_Prec!$O:$O,BV_Data_An_Prec!$U:$U,$B294,BV_Data_An_Prec!$V:$V,$C294,BV_Data_An_Prec!$W:$W,$L$2)</f>
        <v>22553.160000000003</v>
      </c>
      <c r="R294" s="324">
        <f>IF(O294=0,0,(J294-O294)/O294)</f>
        <v>-2.8216466873703553E-2</v>
      </c>
      <c r="S294" s="199">
        <f t="shared" ref="S294:S299" si="158">L294-Q294</f>
        <v>2072.6200000000063</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53"/>
        <v>PiècesPièces Ro Carrosserie</v>
      </c>
      <c r="B295" s="24" t="s">
        <v>175</v>
      </c>
      <c r="C295" s="264" t="s">
        <v>178</v>
      </c>
      <c r="D295" s="197">
        <f>+INDEX('Budget original'!$A$2:$AO$496,MATCH($A295,'Budget original'!$A$2:$A$496,0),MATCH(D$2,'Budget original'!$A$2:$AO$2,0))</f>
        <v>56981.848119371069</v>
      </c>
      <c r="E295" s="210">
        <f t="shared" ref="E295:E302" si="159">IF(D295=0,0,F295/D295)</f>
        <v>0.27367264200070923</v>
      </c>
      <c r="F295" s="199">
        <f>+INDEX('Budget original'!$A$2:$AO$496,MATCH($A295,'Budget original'!$A$2:$A$496,0),MATCH(F$2,'Budget original'!$A$2:$AO$2,0))</f>
        <v>15594.372920911424</v>
      </c>
      <c r="G295" s="197">
        <f>+INDEX('Budget révisé'!$A$2:$AO$496,MATCH($A295,'Budget révisé'!$A$2:$A$496,0),MATCH(G$2,'Budget révisé'!$A$2:$AO$2,0))</f>
        <v>56981.848119371069</v>
      </c>
      <c r="H295" s="210">
        <f t="shared" ref="H295:H302" si="160">IF(G295=0,0,I295/G295)</f>
        <v>0.27367264200070923</v>
      </c>
      <c r="I295" s="199">
        <f>+INDEX('Budget révisé'!$A$2:$AO$496,MATCH($A295,'Budget révisé'!$A$2:$A$496,0),MATCH(I$2,'Budget révisé'!$A$2:$AO$2,0))</f>
        <v>15594.372920911424</v>
      </c>
      <c r="J295" s="179">
        <f>-SUMIFS(BV_Data_An_Cour!$O:$O,BV_Data_An_Cour!$X:$X,"Oui",BV_Data_An_Cour!$U:$U,$B295,BV_Data_An_Cour!$V:$V,$C295)</f>
        <v>19736.7</v>
      </c>
      <c r="K295" s="210">
        <f t="shared" si="154"/>
        <v>0.28486474435949277</v>
      </c>
      <c r="L295" s="180">
        <f>-SUMIFS(BV_Data_An_Cour!$O:$O,BV_Data_An_Cour!$U:$U,$B295,BV_Data_An_Cour!$V:$V,$C295,BV_Data_An_Cour!$W:$W,$L$2)</f>
        <v>5622.2900000000009</v>
      </c>
      <c r="M295" s="324">
        <f t="shared" si="155"/>
        <v>-0.65363180290934642</v>
      </c>
      <c r="N295" s="304">
        <f t="shared" si="156"/>
        <v>-9972.0829209114236</v>
      </c>
      <c r="O295" s="179">
        <f>-SUMIFS(BV_Data_An_Prec!$O:$O,BV_Data_An_Prec!$X:$X,"Oui",BV_Data_An_Prec!$U:$U,$B295,BV_Data_An_Prec!$V:$V,$C295)</f>
        <v>81019.09</v>
      </c>
      <c r="P295" s="210">
        <f t="shared" si="157"/>
        <v>0.27130297316348523</v>
      </c>
      <c r="Q295" s="180">
        <f>-SUMIFS(BV_Data_An_Prec!$O:$O,BV_Data_An_Prec!$U:$U,$B295,BV_Data_An_Prec!$V:$V,$C295,BV_Data_An_Prec!$W:$W,$L$2)</f>
        <v>21980.719999999994</v>
      </c>
      <c r="R295" s="324">
        <f t="shared" ref="R295:R302" si="161">IF(O295=0,0,(J295-O295)/O295)</f>
        <v>-0.75639444975252135</v>
      </c>
      <c r="S295" s="199">
        <f t="shared" si="158"/>
        <v>-16358.429999999993</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53"/>
        <v>PiècesP/A Garantie</v>
      </c>
      <c r="B296" s="24" t="s">
        <v>175</v>
      </c>
      <c r="C296" s="264" t="s">
        <v>179</v>
      </c>
      <c r="D296" s="197">
        <f>+INDEX('Budget original'!$A$2:$AO$496,MATCH($A296,'Budget original'!$A$2:$A$496,0),MATCH(D$2,'Budget original'!$A$2:$AO$2,0))</f>
        <v>93288.902236146867</v>
      </c>
      <c r="E296" s="210">
        <f t="shared" si="159"/>
        <v>0.23983607715678654</v>
      </c>
      <c r="F296" s="199">
        <f>+INDEX('Budget original'!$A$2:$AO$496,MATCH($A296,'Budget original'!$A$2:$A$496,0),MATCH(F$2,'Budget original'!$A$2:$AO$2,0))</f>
        <v>22374.044354580437</v>
      </c>
      <c r="G296" s="197">
        <f>+INDEX('Budget révisé'!$A$2:$AO$496,MATCH($A296,'Budget révisé'!$A$2:$A$496,0),MATCH(G$2,'Budget révisé'!$A$2:$AO$2,0))</f>
        <v>93288.902236146867</v>
      </c>
      <c r="H296" s="210">
        <f t="shared" si="160"/>
        <v>0.23983607715678654</v>
      </c>
      <c r="I296" s="199">
        <f>+INDEX('Budget révisé'!$A$2:$AO$496,MATCH($A296,'Budget révisé'!$A$2:$A$496,0),MATCH(I$2,'Budget révisé'!$A$2:$AO$2,0))</f>
        <v>22374.044354580437</v>
      </c>
      <c r="J296" s="179">
        <f>-SUMIFS(BV_Data_An_Cour!$O:$O,BV_Data_An_Cour!$X:$X,"Oui",BV_Data_An_Cour!$U:$U,$B296,BV_Data_An_Cour!$V:$V,$C296)</f>
        <v>64208.3</v>
      </c>
      <c r="K296" s="210">
        <f t="shared" si="154"/>
        <v>0.23106436395294688</v>
      </c>
      <c r="L296" s="180">
        <f>-SUMIFS(BV_Data_An_Cour!$O:$O,BV_Data_An_Cour!$U:$U,$B296,BV_Data_An_Cour!$V:$V,$C296,BV_Data_An_Cour!$W:$W,$L$2)</f>
        <v>14836.25</v>
      </c>
      <c r="M296" s="324">
        <f t="shared" si="155"/>
        <v>-0.3117262776073158</v>
      </c>
      <c r="N296" s="304">
        <f t="shared" si="156"/>
        <v>-7537.7943545804374</v>
      </c>
      <c r="O296" s="179">
        <f>-SUMIFS(BV_Data_An_Prec!$O:$O,BV_Data_An_Prec!$X:$X,"Oui",BV_Data_An_Prec!$U:$U,$B296,BV_Data_An_Prec!$V:$V,$C296)</f>
        <v>86754.48</v>
      </c>
      <c r="P296" s="210">
        <f t="shared" si="157"/>
        <v>0.2573635390356786</v>
      </c>
      <c r="Q296" s="180">
        <f>-SUMIFS(BV_Data_An_Prec!$O:$O,BV_Data_An_Prec!$U:$U,$B296,BV_Data_An_Prec!$V:$V,$C296,BV_Data_An_Prec!$W:$W,$L$2)</f>
        <v>22327.439999999995</v>
      </c>
      <c r="R296" s="324">
        <f t="shared" si="161"/>
        <v>-0.2598849073846099</v>
      </c>
      <c r="S296" s="199">
        <f t="shared" si="158"/>
        <v>-7491.1899999999951</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53"/>
        <v>PiècesVentes Internes</v>
      </c>
      <c r="B297" s="24" t="s">
        <v>175</v>
      </c>
      <c r="C297" s="264" t="s">
        <v>180</v>
      </c>
      <c r="D297" s="197">
        <f>+INDEX('Budget original'!$A$2:$AO$496,MATCH($A297,'Budget original'!$A$2:$A$496,0),MATCH(D$2,'Budget original'!$A$2:$AO$2,0))</f>
        <v>55737.793221153479</v>
      </c>
      <c r="E297" s="210">
        <f t="shared" si="159"/>
        <v>0.32994466198333777</v>
      </c>
      <c r="F297" s="199">
        <f>+INDEX('Budget original'!$A$2:$AO$496,MATCH($A297,'Budget original'!$A$2:$A$496,0),MATCH(F$2,'Budget original'!$A$2:$AO$2,0))</f>
        <v>18390.387344050661</v>
      </c>
      <c r="G297" s="197">
        <f>+INDEX('Budget révisé'!$A$2:$AO$496,MATCH($A297,'Budget révisé'!$A$2:$A$496,0),MATCH(G$2,'Budget révisé'!$A$2:$AO$2,0))</f>
        <v>55737.793221153479</v>
      </c>
      <c r="H297" s="210">
        <f t="shared" si="160"/>
        <v>0.32994466198333777</v>
      </c>
      <c r="I297" s="199">
        <f>+INDEX('Budget révisé'!$A$2:$AO$496,MATCH($A297,'Budget révisé'!$A$2:$A$496,0),MATCH(I$2,'Budget révisé'!$A$2:$AO$2,0))</f>
        <v>18390.387344050661</v>
      </c>
      <c r="J297" s="179">
        <f>-SUMIFS(BV_Data_An_Cour!$O:$O,BV_Data_An_Cour!$X:$X,"Oui",BV_Data_An_Cour!$U:$U,$B297,BV_Data_An_Cour!$V:$V,$C297)</f>
        <v>50091.519999999997</v>
      </c>
      <c r="K297" s="210">
        <f t="shared" si="154"/>
        <v>0.33594907880615316</v>
      </c>
      <c r="L297" s="180">
        <f>-SUMIFS(BV_Data_An_Cour!$O:$O,BV_Data_An_Cour!$U:$U,$B297,BV_Data_An_Cour!$V:$V,$C297,BV_Data_An_Cour!$W:$W,$L$2)</f>
        <v>16828.199999999997</v>
      </c>
      <c r="M297" s="324">
        <f t="shared" si="155"/>
        <v>-0.10130062377515552</v>
      </c>
      <c r="N297" s="304">
        <f t="shared" si="156"/>
        <v>-1562.1873440506643</v>
      </c>
      <c r="O297" s="179">
        <f>-SUMIFS(BV_Data_An_Prec!$O:$O,BV_Data_An_Prec!$X:$X,"Oui",BV_Data_An_Prec!$U:$U,$B297,BV_Data_An_Prec!$V:$V,$C297)</f>
        <v>59750.44</v>
      </c>
      <c r="P297" s="210">
        <f t="shared" si="157"/>
        <v>0.29412670433891369</v>
      </c>
      <c r="Q297" s="180">
        <f>-SUMIFS(BV_Data_An_Prec!$O:$O,BV_Data_An_Prec!$U:$U,$B297,BV_Data_An_Prec!$V:$V,$C297,BV_Data_An_Prec!$W:$W,$L$2)</f>
        <v>17574.200000000004</v>
      </c>
      <c r="R297" s="324">
        <f t="shared" si="161"/>
        <v>-0.16165437442803776</v>
      </c>
      <c r="S297" s="199">
        <f t="shared" si="158"/>
        <v>-746.00000000000728</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53"/>
        <v>PiècesVentes Détails</v>
      </c>
      <c r="B298" s="24" t="s">
        <v>175</v>
      </c>
      <c r="C298" s="264" t="s">
        <v>181</v>
      </c>
      <c r="D298" s="197">
        <f>+INDEX('Budget original'!$A$2:$AO$496,MATCH($A298,'Budget original'!$A$2:$A$496,0),MATCH(D$2,'Budget original'!$A$2:$AO$2,0))</f>
        <v>14844.440786534014</v>
      </c>
      <c r="E298" s="210">
        <f t="shared" si="159"/>
        <v>0.29678579936093841</v>
      </c>
      <c r="F298" s="199">
        <f>+INDEX('Budget original'!$A$2:$AO$496,MATCH($A298,'Budget original'!$A$2:$A$496,0),MATCH(F$2,'Budget original'!$A$2:$AO$2,0))</f>
        <v>4405.6192248976149</v>
      </c>
      <c r="G298" s="197">
        <f>+INDEX('Budget révisé'!$A$2:$AO$496,MATCH($A298,'Budget révisé'!$A$2:$A$496,0),MATCH(G$2,'Budget révisé'!$A$2:$AO$2,0))</f>
        <v>14844.440786534014</v>
      </c>
      <c r="H298" s="210">
        <f t="shared" si="160"/>
        <v>0.29678579936093841</v>
      </c>
      <c r="I298" s="199">
        <f>+INDEX('Budget révisé'!$A$2:$AO$496,MATCH($A298,'Budget révisé'!$A$2:$A$496,0),MATCH(I$2,'Budget révisé'!$A$2:$AO$2,0))</f>
        <v>4405.6192248976149</v>
      </c>
      <c r="J298" s="179">
        <f>-SUMIFS(BV_Data_An_Cour!$O:$O,BV_Data_An_Cour!$X:$X,"Oui",BV_Data_An_Cour!$U:$U,$B298,BV_Data_An_Cour!$V:$V,$C298)</f>
        <v>16671.490000000002</v>
      </c>
      <c r="K298" s="210">
        <f t="shared" si="154"/>
        <v>0.26749258764513556</v>
      </c>
      <c r="L298" s="180">
        <f>-SUMIFS(BV_Data_An_Cour!$O:$O,BV_Data_An_Cour!$U:$U,$B298,BV_Data_An_Cour!$V:$V,$C298,BV_Data_An_Cour!$W:$W,$L$2)</f>
        <v>4459.5000000000018</v>
      </c>
      <c r="M298" s="324">
        <f t="shared" si="155"/>
        <v>0.12307969291260716</v>
      </c>
      <c r="N298" s="304">
        <f t="shared" si="156"/>
        <v>53.880775102386906</v>
      </c>
      <c r="O298" s="179">
        <f>-SUMIFS(BV_Data_An_Prec!$O:$O,BV_Data_An_Prec!$X:$X,"Oui",BV_Data_An_Prec!$U:$U,$B298,BV_Data_An_Prec!$V:$V,$C298)</f>
        <v>15714.2</v>
      </c>
      <c r="P298" s="210">
        <f t="shared" si="157"/>
        <v>0.31595435975105324</v>
      </c>
      <c r="Q298" s="180">
        <f>-SUMIFS(BV_Data_An_Prec!$O:$O,BV_Data_An_Prec!$U:$U,$B298,BV_Data_An_Prec!$V:$V,$C298,BV_Data_An_Prec!$W:$W,$L$2)</f>
        <v>4964.9700000000012</v>
      </c>
      <c r="R298" s="324">
        <f t="shared" si="161"/>
        <v>6.0918786829746399E-2</v>
      </c>
      <c r="S298" s="199">
        <f t="shared" si="158"/>
        <v>-505.46999999999935</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62">+B299&amp;C299</f>
        <v>PiècesVentes de Gros</v>
      </c>
      <c r="B299" s="24" t="s">
        <v>175</v>
      </c>
      <c r="C299" s="264" t="s">
        <v>182</v>
      </c>
      <c r="D299" s="197">
        <f>+INDEX('Budget original'!$A$2:$AO$496,MATCH($A299,'Budget original'!$A$2:$A$496,0),MATCH(D$2,'Budget original'!$A$2:$AO$2,0))</f>
        <v>51653.179368916273</v>
      </c>
      <c r="E299" s="210">
        <f t="shared" si="159"/>
        <v>0.19081606757663094</v>
      </c>
      <c r="F299" s="199">
        <f>+INDEX('Budget original'!$A$2:$AO$496,MATCH($A299,'Budget original'!$A$2:$A$496,0),MATCH(F$2,'Budget original'!$A$2:$AO$2,0))</f>
        <v>9856.2565650069664</v>
      </c>
      <c r="G299" s="197">
        <f>+INDEX('Budget révisé'!$A$2:$AO$496,MATCH($A299,'Budget révisé'!$A$2:$A$496,0),MATCH(G$2,'Budget révisé'!$A$2:$AO$2,0))</f>
        <v>51653.179368916273</v>
      </c>
      <c r="H299" s="210">
        <f t="shared" si="160"/>
        <v>0.19081606757663094</v>
      </c>
      <c r="I299" s="199">
        <f>+INDEX('Budget révisé'!$A$2:$AO$496,MATCH($A299,'Budget révisé'!$A$2:$A$496,0),MATCH(I$2,'Budget révisé'!$A$2:$AO$2,0))</f>
        <v>9856.2565650069664</v>
      </c>
      <c r="J299" s="179">
        <f>-SUMIFS(BV_Data_An_Cour!$O:$O,BV_Data_An_Cour!$X:$X,"Oui",BV_Data_An_Cour!$U:$U,$B299,BV_Data_An_Cour!$V:$V,$C299)</f>
        <v>55314.11</v>
      </c>
      <c r="K299" s="210">
        <f t="shared" si="154"/>
        <v>0.19188865191901308</v>
      </c>
      <c r="L299" s="180">
        <f>-SUMIFS(BV_Data_An_Cour!$O:$O,BV_Data_An_Cour!$U:$U,$B299,BV_Data_An_Cour!$V:$V,$C299,BV_Data_An_Cour!$W:$W,$L$2)</f>
        <v>10614.150000000001</v>
      </c>
      <c r="M299" s="324">
        <f t="shared" si="155"/>
        <v>7.0875223477275304E-2</v>
      </c>
      <c r="N299" s="304">
        <f t="shared" si="156"/>
        <v>757.89343499303504</v>
      </c>
      <c r="O299" s="179">
        <f>-SUMIFS(BV_Data_An_Prec!$O:$O,BV_Data_An_Prec!$X:$X,"Oui",BV_Data_An_Prec!$U:$U,$B299,BV_Data_An_Prec!$V:$V,$C299)</f>
        <v>51384.69</v>
      </c>
      <c r="P299" s="210">
        <f t="shared" si="157"/>
        <v>0.1870798481026158</v>
      </c>
      <c r="Q299" s="180">
        <f>-SUMIFS(BV_Data_An_Prec!$O:$O,BV_Data_An_Prec!$U:$U,$B299,BV_Data_An_Prec!$V:$V,$C299,BV_Data_An_Prec!$W:$W,$L$2)</f>
        <v>9613.0400000000009</v>
      </c>
      <c r="R299" s="324">
        <f t="shared" si="161"/>
        <v>7.647063746030186E-2</v>
      </c>
      <c r="S299" s="199">
        <f t="shared" si="158"/>
        <v>1001.1100000000006</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tr">
        <f t="shared" si="162"/>
        <v>Pièces[...]</v>
      </c>
      <c r="B300" s="24" t="s">
        <v>175</v>
      </c>
      <c r="C300" s="264" t="s">
        <v>42</v>
      </c>
      <c r="D300" s="197">
        <f>+INDEX('Budget original'!$A$2:$AO$496,MATCH($A300,'Budget original'!$A$2:$A$496,0),MATCH(D$2,'Budget original'!$A$2:$AO$2,0))</f>
        <v>0</v>
      </c>
      <c r="E300" s="210">
        <f t="shared" ref="E300" si="163">IF(D300=0,0,F300/D300)</f>
        <v>0</v>
      </c>
      <c r="F300" s="199">
        <f>+INDEX('Budget original'!$A$2:$AO$496,MATCH($A300,'Budget original'!$A$2:$A$496,0),MATCH(F$2,'Budget original'!$A$2:$AO$2,0))</f>
        <v>0</v>
      </c>
      <c r="G300" s="197">
        <f>+INDEX('Budget révisé'!$A$2:$AO$496,MATCH($A300,'Budget révisé'!$A$2:$A$496,0),MATCH(G$2,'Budget révisé'!$A$2:$AO$2,0))</f>
        <v>0</v>
      </c>
      <c r="H300" s="210">
        <f t="shared" ref="H300" si="164">IF(G300=0,0,I300/G300)</f>
        <v>0</v>
      </c>
      <c r="I300" s="199">
        <f>+INDEX('Budget révisé'!$A$2:$AO$496,MATCH($A300,'Budget révisé'!$A$2:$A$496,0),MATCH(I$2,'Budget révisé'!$A$2:$AO$2,0))</f>
        <v>0</v>
      </c>
      <c r="J300" s="179">
        <f>-SUMIFS(BV_Data_An_Cour!$O:$O,BV_Data_An_Cour!$X:$X,"Oui",BV_Data_An_Cour!$U:$U,$B300,BV_Data_An_Cour!$V:$V,$C300)</f>
        <v>0</v>
      </c>
      <c r="K300" s="210">
        <f t="shared" ref="K300" si="165">IF(J300&lt;=0,0,L300/J300)</f>
        <v>0</v>
      </c>
      <c r="L300" s="180">
        <f>-SUMIFS(BV_Data_An_Cour!$O:$O,BV_Data_An_Cour!$U:$U,$B300,BV_Data_An_Cour!$V:$V,$C300,BV_Data_An_Cour!$W:$W,$L$2)</f>
        <v>0</v>
      </c>
      <c r="M300" s="324" t="e">
        <f t="shared" ref="M300" si="166">(+J300-G300)/G300</f>
        <v>#DIV/0!</v>
      </c>
      <c r="N300" s="304">
        <f t="shared" ref="N300" si="167">L300-I300</f>
        <v>0</v>
      </c>
      <c r="O300" s="179">
        <f>-SUMIFS(BV_Data_An_Prec!$O:$O,BV_Data_An_Prec!$X:$X,"Oui",BV_Data_An_Prec!$U:$U,$B300,BV_Data_An_Prec!$V:$V,$C300)</f>
        <v>0</v>
      </c>
      <c r="P300" s="210">
        <f t="shared" ref="P300" si="168">IF(O300&lt;=0,0,Q300/O300)</f>
        <v>0</v>
      </c>
      <c r="Q300" s="180">
        <f>-SUMIFS(BV_Data_An_Prec!$O:$O,BV_Data_An_Prec!$U:$U,$B300,BV_Data_An_Prec!$V:$V,$C300,BV_Data_An_Prec!$W:$W,$L$2)</f>
        <v>0</v>
      </c>
      <c r="R300" s="324">
        <f t="shared" ref="R300" si="169">IF(O300=0,0,(J300-O300)/O300)</f>
        <v>0</v>
      </c>
      <c r="S300" s="199">
        <f t="shared" ref="S300" si="170">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53"/>
        <v>PiècesEscomptes</v>
      </c>
      <c r="B301" s="24" t="s">
        <v>175</v>
      </c>
      <c r="C301" s="264" t="s">
        <v>183</v>
      </c>
      <c r="D301" s="197">
        <f>+INDEX('Budget original'!$A$2:$AO$496,MATCH($A301,'Budget original'!$A$2:$A$496,0),MATCH(D$2,'Budget original'!$A$2:$AO$2,0))</f>
        <v>0</v>
      </c>
      <c r="E301" s="210">
        <f t="shared" si="159"/>
        <v>0</v>
      </c>
      <c r="F301" s="199">
        <f>+INDEX('Budget original'!$A$2:$AO$496,MATCH($A301,'Budget original'!$A$2:$A$496,0),MATCH(F$2,'Budget original'!$A$2:$AO$2,0))</f>
        <v>10562.177689201206</v>
      </c>
      <c r="G301" s="197">
        <f>+INDEX('Budget révisé'!$A$2:$AO$496,MATCH($A301,'Budget révisé'!$A$2:$A$496,0),MATCH(G$2,'Budget révisé'!$A$2:$AO$2,0))</f>
        <v>0</v>
      </c>
      <c r="H301" s="210">
        <f t="shared" si="160"/>
        <v>0</v>
      </c>
      <c r="I301" s="199">
        <f>+INDEX('Budget révisé'!$A$2:$AO$496,MATCH($A301,'Budget révisé'!$A$2:$A$496,0),MATCH(I$2,'Budget révisé'!$A$2:$AO$2,0))</f>
        <v>10562.177689201206</v>
      </c>
      <c r="J301" s="179">
        <f>-SUMIFS(BV_Data_An_Cour!$O:$O,BV_Data_An_Cour!$X:$X,"Oui",BV_Data_An_Cour!$U:$U,$B301,BV_Data_An_Cour!$V:$V,$C301)</f>
        <v>0</v>
      </c>
      <c r="K301" s="210">
        <f t="shared" ref="K301:K303" si="171">IF(J301&lt;=0,0,L301/J301)</f>
        <v>0</v>
      </c>
      <c r="L301" s="180">
        <f>-SUMIFS(BV_Data_An_Cour!$O:$O,BV_Data_An_Cour!$U:$U,$B301,BV_Data_An_Cour!$V:$V,$C301,BV_Data_An_Cour!$W:$W,$L$2)</f>
        <v>7736.16</v>
      </c>
      <c r="M301" s="324"/>
      <c r="N301" s="304">
        <f t="shared" ref="N301:N303" si="172">L301-I301</f>
        <v>-2826.0176892012059</v>
      </c>
      <c r="O301" s="179">
        <f>-SUMIFS(BV_Data_An_Prec!$O:$O,BV_Data_An_Prec!$X:$X,"Oui",BV_Data_An_Prec!$U:$U,$B301,BV_Data_An_Prec!$V:$V,$C301)</f>
        <v>0</v>
      </c>
      <c r="P301" s="210">
        <f t="shared" si="157"/>
        <v>0</v>
      </c>
      <c r="Q301" s="180">
        <f>-SUMIFS(BV_Data_An_Prec!$O:$O,BV_Data_An_Prec!$U:$U,$B301,BV_Data_An_Prec!$V:$V,$C301,BV_Data_An_Prec!$W:$W,$L$2)</f>
        <v>7361.08</v>
      </c>
      <c r="R301" s="324">
        <f t="shared" si="161"/>
        <v>0</v>
      </c>
      <c r="S301" s="199">
        <f t="shared" ref="S301:S303" si="173">L301-Q301</f>
        <v>375.07999999999993</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53"/>
        <v>PiècesRectif. Inventaire</v>
      </c>
      <c r="B302" s="24" t="s">
        <v>175</v>
      </c>
      <c r="C302" s="326" t="s">
        <v>184</v>
      </c>
      <c r="D302" s="197">
        <f>+INDEX('Budget original'!$A$2:$AO$496,MATCH($A302,'Budget original'!$A$2:$A$496,0),MATCH(D$2,'Budget original'!$A$2:$AO$2,0))</f>
        <v>0</v>
      </c>
      <c r="E302" s="210">
        <f t="shared" si="159"/>
        <v>0</v>
      </c>
      <c r="F302" s="199">
        <f>+INDEX('Budget original'!$A$2:$AO$496,MATCH($A302,'Budget original'!$A$2:$A$496,0),MATCH(F$2,'Budget original'!$A$2:$AO$2,0))</f>
        <v>100</v>
      </c>
      <c r="G302" s="197">
        <f>+INDEX('Budget révisé'!$A$2:$AO$496,MATCH($A302,'Budget révisé'!$A$2:$A$496,0),MATCH(G$2,'Budget révisé'!$A$2:$AO$2,0))</f>
        <v>0</v>
      </c>
      <c r="H302" s="210">
        <f t="shared" si="160"/>
        <v>0</v>
      </c>
      <c r="I302" s="199">
        <f>+INDEX('Budget révisé'!$A$2:$AO$496,MATCH($A302,'Budget révisé'!$A$2:$A$496,0),MATCH(I$2,'Budget révisé'!$A$2:$AO$2,0))</f>
        <v>100</v>
      </c>
      <c r="J302" s="179">
        <f>-SUMIFS(BV_Data_An_Cour!$O:$O,BV_Data_An_Cour!$X:$X,"Oui",BV_Data_An_Cour!$U:$U,$B302,BV_Data_An_Cour!$V:$V,$C302)</f>
        <v>0</v>
      </c>
      <c r="K302" s="210">
        <f t="shared" si="171"/>
        <v>0</v>
      </c>
      <c r="L302" s="180">
        <f>-SUMIFS(BV_Data_An_Cour!$O:$O,BV_Data_An_Cour!$U:$U,$B302,BV_Data_An_Cour!$V:$V,$C302,BV_Data_An_Cour!$W:$W,$L$2)</f>
        <v>0</v>
      </c>
      <c r="M302" s="324"/>
      <c r="N302" s="304">
        <f t="shared" si="172"/>
        <v>-100</v>
      </c>
      <c r="O302" s="179">
        <f>-SUMIFS(BV_Data_An_Prec!$O:$O,BV_Data_An_Prec!$X:$X,"Oui",BV_Data_An_Prec!$U:$U,$B302,BV_Data_An_Prec!$V:$V,$C302)</f>
        <v>0</v>
      </c>
      <c r="P302" s="210">
        <f t="shared" si="157"/>
        <v>0</v>
      </c>
      <c r="Q302" s="180">
        <f>-SUMIFS(BV_Data_An_Prec!$O:$O,BV_Data_An_Prec!$U:$U,$B302,BV_Data_An_Prec!$V:$V,$C302,BV_Data_An_Prec!$W:$W,$L$2)</f>
        <v>0</v>
      </c>
      <c r="R302" s="324">
        <f t="shared" si="161"/>
        <v>0</v>
      </c>
      <c r="S302" s="199">
        <f t="shared" si="173"/>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53"/>
        <v>PiècesSous-total Pièces</v>
      </c>
      <c r="B303" s="24" t="s">
        <v>175</v>
      </c>
      <c r="C303" s="327" t="s">
        <v>185</v>
      </c>
      <c r="D303" s="198">
        <f>SUM(D294:D302)</f>
        <v>333167.48487478646</v>
      </c>
      <c r="E303" s="328">
        <f>IF(D303&lt;=0,0,F303/D303)</f>
        <v>0.30917580612418194</v>
      </c>
      <c r="F303" s="200">
        <f>SUM(F294:F302)</f>
        <v>103007.3257105283</v>
      </c>
      <c r="G303" s="198">
        <f>SUM(G294:G302)</f>
        <v>333167.48487478646</v>
      </c>
      <c r="H303" s="328">
        <f>IF(G303&lt;=0,0,I303/G303)</f>
        <v>0.30917580612418194</v>
      </c>
      <c r="I303" s="200">
        <f>SUM(I294:I302)</f>
        <v>103007.3257105283</v>
      </c>
      <c r="J303" s="198">
        <f>SUM(J294:J302)</f>
        <v>279939.61</v>
      </c>
      <c r="K303" s="328">
        <f t="shared" si="171"/>
        <v>0.30264502404643639</v>
      </c>
      <c r="L303" s="329">
        <f>SUM(L294:L302)</f>
        <v>84722.330000000016</v>
      </c>
      <c r="M303" s="330">
        <f>(+J303-G303)/G303</f>
        <v>-0.15976311402293947</v>
      </c>
      <c r="N303" s="329">
        <f t="shared" si="172"/>
        <v>-18284.995710528281</v>
      </c>
      <c r="O303" s="198">
        <f>SUM(O294:O302)</f>
        <v>370686.64</v>
      </c>
      <c r="P303" s="328">
        <f t="shared" si="157"/>
        <v>0.28696639835738347</v>
      </c>
      <c r="Q303" s="329">
        <f>SUM(Q294:Q302)</f>
        <v>106374.61</v>
      </c>
      <c r="R303" s="330">
        <f>IF(O303=0,0,(J303-O303)/O303)</f>
        <v>-0.24480793265168668</v>
      </c>
      <c r="S303" s="200">
        <f t="shared" si="173"/>
        <v>-21652.279999999984</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53"/>
        <v>Pièces</v>
      </c>
      <c r="B304" s="24" t="s">
        <v>175</v>
      </c>
      <c r="C304" s="264"/>
      <c r="D304" s="178"/>
      <c r="E304" s="178"/>
      <c r="F304" s="312"/>
      <c r="G304" s="303"/>
      <c r="H304" s="178"/>
      <c r="I304" s="312"/>
      <c r="J304" s="303"/>
      <c r="K304" s="178"/>
      <c r="L304" s="312"/>
      <c r="M304" s="303"/>
      <c r="N304" s="332">
        <f>N303/I303</f>
        <v>-0.17751160496985299</v>
      </c>
      <c r="O304" s="303"/>
      <c r="P304" s="178"/>
      <c r="Q304" s="312"/>
      <c r="R304" s="303"/>
      <c r="S304" s="333">
        <f>IF(Q303=0,0,S303/Q303)</f>
        <v>-0.20354744426325028</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53"/>
        <v>Pièces</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53"/>
        <v>PiècesVentes Pneus</v>
      </c>
      <c r="B306" s="24" t="s">
        <v>175</v>
      </c>
      <c r="C306" s="264" t="s">
        <v>186</v>
      </c>
      <c r="D306" s="197">
        <f>+INDEX('Budget original'!$A$2:$AO$496,MATCH($A306,'Budget original'!$A$2:$A$496,0),MATCH(D$2,'Budget original'!$A$2:$AO$2,0))</f>
        <v>18211.2175369998</v>
      </c>
      <c r="E306" s="210">
        <f t="shared" ref="E306:E307" si="174">IF(D306=0,0,F306/D306)</f>
        <v>0.19500000000000001</v>
      </c>
      <c r="F306" s="201">
        <f>+INDEX('Budget original'!$A$2:$AO$496,MATCH($A306,'Budget original'!$A$2:$A$496,0),MATCH(F$2,'Budget original'!$A$2:$AO$2,0))</f>
        <v>3551.1874197149614</v>
      </c>
      <c r="G306" s="197">
        <f>+INDEX('Budget révisé'!$A$2:$AO$496,MATCH($A306,'Budget révisé'!$A$2:$A$496,0),MATCH(G$2,'Budget révisé'!$A$2:$AO$2,0))</f>
        <v>18211.2175369998</v>
      </c>
      <c r="H306" s="210">
        <f t="shared" ref="H306:H307" si="175">IF(G306=0,0,I306/G306)</f>
        <v>0.19500000000000001</v>
      </c>
      <c r="I306" s="201">
        <f>+INDEX('Budget révisé'!$A$2:$AO$496,MATCH($A306,'Budget révisé'!$A$2:$A$496,0),MATCH(I$2,'Budget révisé'!$A$2:$AO$2,0))</f>
        <v>3551.1874197149614</v>
      </c>
      <c r="J306" s="179">
        <f>-SUMIFS(BV_Data_An_Cour!$O:$O,BV_Data_An_Cour!$X:$X,"Oui",BV_Data_An_Cour!$U:$U,$B306,BV_Data_An_Cour!$V:$V,$C306)</f>
        <v>26431.119999999999</v>
      </c>
      <c r="K306" s="210">
        <f t="shared" ref="K306:K308" si="176">IF(J306&lt;=0,0,L306/J306)</f>
        <v>0.12185257378423615</v>
      </c>
      <c r="L306" s="180">
        <f>-SUMIFS(BV_Data_An_Cour!$O:$O,BV_Data_An_Cour!$U:$U,$B306,BV_Data_An_Cour!$V:$V,$C306,BV_Data_An_Cour!$W:$W,$L$2)</f>
        <v>3220.7</v>
      </c>
      <c r="M306" s="324">
        <f t="shared" ref="M306:M308" si="177">(+J306-G306)/G306</f>
        <v>0.45136479459980045</v>
      </c>
      <c r="N306" s="304">
        <f t="shared" ref="N306:N308" si="178">L306-I306</f>
        <v>-330.48741971496156</v>
      </c>
      <c r="O306" s="179">
        <f>-SUMIFS(BV_Data_An_Prec!$O:$O,BV_Data_An_Prec!$X:$X,"Oui",BV_Data_An_Prec!$U:$U,$B306,BV_Data_An_Prec!$V:$V,$C306)</f>
        <v>16404.080000000002</v>
      </c>
      <c r="P306" s="210">
        <f t="shared" ref="P306:P308" si="179">IF(O306&lt;=0,0,Q306/O306)</f>
        <v>0.19664559060916562</v>
      </c>
      <c r="Q306" s="180">
        <f>-SUMIFS(BV_Data_An_Prec!$O:$O,BV_Data_An_Prec!$U:$U,$B306,BV_Data_An_Prec!$V:$V,$C306,BV_Data_An_Prec!$W:$W,$L$2)</f>
        <v>3225.7900000000018</v>
      </c>
      <c r="R306" s="324">
        <f t="shared" ref="R306:R307" si="180">IF(O306=0,0,(J306-O306)/O306)</f>
        <v>0.61125281027646761</v>
      </c>
      <c r="S306" s="199">
        <f t="shared" ref="S306:S308" si="181">L306-Q306</f>
        <v>-5.0900000000019645</v>
      </c>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53"/>
        <v>PiècesHuiles et Graisse</v>
      </c>
      <c r="B307" s="24" t="s">
        <v>175</v>
      </c>
      <c r="C307" s="326" t="s">
        <v>187</v>
      </c>
      <c r="D307" s="197">
        <f>+INDEX('Budget original'!$A$2:$AO$496,MATCH($A307,'Budget original'!$A$2:$A$496,0),MATCH(D$2,'Budget original'!$A$2:$AO$2,0))</f>
        <v>18914.808314957238</v>
      </c>
      <c r="E307" s="210">
        <f t="shared" si="174"/>
        <v>0.30006987567403659</v>
      </c>
      <c r="F307" s="202">
        <f>+INDEX('Budget original'!$A$2:$AO$496,MATCH($A307,'Budget original'!$A$2:$A$496,0),MATCH(F$2,'Budget original'!$A$2:$AO$2,0))</f>
        <v>5675.7641794674519</v>
      </c>
      <c r="G307" s="197">
        <f>+INDEX('Budget révisé'!$A$2:$AO$496,MATCH($A307,'Budget révisé'!$A$2:$A$496,0),MATCH(G$2,'Budget révisé'!$A$2:$AO$2,0))</f>
        <v>18914.808314957238</v>
      </c>
      <c r="H307" s="210">
        <f t="shared" si="175"/>
        <v>0.30006987567403659</v>
      </c>
      <c r="I307" s="202">
        <f>+INDEX('Budget révisé'!$A$2:$AO$496,MATCH($A307,'Budget révisé'!$A$2:$A$496,0),MATCH(I$2,'Budget révisé'!$A$2:$AO$2,0))</f>
        <v>5675.7641794674519</v>
      </c>
      <c r="J307" s="179">
        <f>-SUMIFS(BV_Data_An_Cour!$O:$O,BV_Data_An_Cour!$X:$X,"Oui",BV_Data_An_Cour!$U:$U,$B307,BV_Data_An_Cour!$V:$V,$C307)</f>
        <v>18216.47</v>
      </c>
      <c r="K307" s="210">
        <f t="shared" si="176"/>
        <v>0.26480157791273512</v>
      </c>
      <c r="L307" s="180">
        <f>-SUMIFS(BV_Data_An_Cour!$O:$O,BV_Data_An_Cour!$U:$U,$B307,BV_Data_An_Cour!$V:$V,$C307,BV_Data_An_Cour!$W:$W,$L$2)</f>
        <v>4823.7500000000018</v>
      </c>
      <c r="M307" s="324">
        <f t="shared" si="177"/>
        <v>-3.6920189902480395E-2</v>
      </c>
      <c r="N307" s="304">
        <f t="shared" si="178"/>
        <v>-852.01417946745005</v>
      </c>
      <c r="O307" s="179">
        <f>-SUMIFS(BV_Data_An_Prec!$O:$O,BV_Data_An_Prec!$X:$X,"Oui",BV_Data_An_Prec!$U:$U,$B307,BV_Data_An_Prec!$V:$V,$C307)</f>
        <v>19768.259999999998</v>
      </c>
      <c r="P307" s="210">
        <f t="shared" si="179"/>
        <v>0.29655720837342281</v>
      </c>
      <c r="Q307" s="180">
        <f>-SUMIFS(BV_Data_An_Prec!$O:$O,BV_Data_An_Prec!$U:$U,$B307,BV_Data_An_Prec!$V:$V,$C307,BV_Data_An_Prec!$W:$W,$L$2)</f>
        <v>5862.4199999999983</v>
      </c>
      <c r="R307" s="324">
        <f t="shared" si="180"/>
        <v>-7.8499068709132591E-2</v>
      </c>
      <c r="S307" s="199">
        <f t="shared" si="181"/>
        <v>-1038.6699999999964</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53"/>
        <v>PiècesSous-total Pièces et Acc.</v>
      </c>
      <c r="B308" s="24" t="s">
        <v>175</v>
      </c>
      <c r="C308" s="327" t="s">
        <v>188</v>
      </c>
      <c r="D308" s="198">
        <f>D303+D306+D307</f>
        <v>370293.51072674349</v>
      </c>
      <c r="E308" s="328">
        <f>IF(D308&lt;=0,0,F308/D308)</f>
        <v>0.30309544741801731</v>
      </c>
      <c r="F308" s="329">
        <f t="shared" ref="F308" si="182">F303+F306+F307</f>
        <v>112234.27730971071</v>
      </c>
      <c r="G308" s="331">
        <f>G303+G306+G307</f>
        <v>370293.51072674349</v>
      </c>
      <c r="H308" s="328">
        <f>IF(G308&lt;=0,0,I308/G308)</f>
        <v>0.30309544741801731</v>
      </c>
      <c r="I308" s="329">
        <f t="shared" ref="I308" si="183">I303+I306+I307</f>
        <v>112234.27730971071</v>
      </c>
      <c r="J308" s="331">
        <f t="shared" ref="J308" si="184">J303+J306+J307</f>
        <v>324587.19999999995</v>
      </c>
      <c r="K308" s="328">
        <f t="shared" si="176"/>
        <v>0.28579925517703725</v>
      </c>
      <c r="L308" s="329">
        <f>L303+L306+L307</f>
        <v>92766.780000000013</v>
      </c>
      <c r="M308" s="330">
        <f t="shared" si="177"/>
        <v>-0.12343265383462881</v>
      </c>
      <c r="N308" s="329">
        <f t="shared" si="178"/>
        <v>-19467.497309710699</v>
      </c>
      <c r="O308" s="331">
        <f t="shared" ref="O308" si="185">O303+O306+O307</f>
        <v>406858.98000000004</v>
      </c>
      <c r="P308" s="328">
        <f t="shared" si="179"/>
        <v>0.28379076209648857</v>
      </c>
      <c r="Q308" s="329">
        <f>Q303+Q306+Q307</f>
        <v>115462.82</v>
      </c>
      <c r="R308" s="330">
        <f>IF(O308=0,0,(J308-O308)/O308)</f>
        <v>-0.20221202933753626</v>
      </c>
      <c r="S308" s="200">
        <f t="shared" si="181"/>
        <v>-22696.039999999994</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53"/>
        <v>Pièces</v>
      </c>
      <c r="B309" s="24" t="s">
        <v>175</v>
      </c>
      <c r="C309" s="264"/>
      <c r="D309" s="178"/>
      <c r="E309" s="178"/>
      <c r="F309" s="312"/>
      <c r="G309" s="303"/>
      <c r="H309" s="178"/>
      <c r="I309" s="312"/>
      <c r="J309" s="303"/>
      <c r="K309" s="178"/>
      <c r="L309" s="312"/>
      <c r="M309" s="303"/>
      <c r="N309" s="332">
        <f>N308/I308</f>
        <v>-0.17345411559064172</v>
      </c>
      <c r="O309" s="303"/>
      <c r="P309" s="178"/>
      <c r="Q309" s="312"/>
      <c r="R309" s="303"/>
      <c r="S309" s="333">
        <f>IF(Q308=0,0,S308/Q308)</f>
        <v>-0.19656578628514348</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53"/>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53"/>
        <v>PiècesAutostock</v>
      </c>
      <c r="B311" s="24" t="s">
        <v>175</v>
      </c>
      <c r="C311" s="326" t="s">
        <v>189</v>
      </c>
      <c r="D311" s="190">
        <f>+INDEX('Budget original'!$A$2:$AO$496,MATCH($A311,'Budget original'!$A$2:$A$496,0),MATCH(D$2,'Budget original'!$A$2:$AO$2,0))</f>
        <v>0</v>
      </c>
      <c r="E311" s="195">
        <f t="shared" ref="E311" si="186">IF(D311=0,0,F311/D311)</f>
        <v>0</v>
      </c>
      <c r="F311" s="196">
        <f>+INDEX('Budget original'!$A$2:$AO$496,MATCH($A311,'Budget original'!$A$2:$A$496,0),MATCH(F$2,'Budget original'!$A$2:$AO$2,0))</f>
        <v>0</v>
      </c>
      <c r="G311" s="211">
        <f>+INDEX('Budget révisé'!$A$2:$AO$496,MATCH($A311,'Budget révisé'!$A$2:$A$496,0),MATCH(G$2,'Budget révisé'!$A$2:$AO$2,0))</f>
        <v>0</v>
      </c>
      <c r="H311" s="195">
        <f t="shared" ref="H311" si="187">IF(G311=0,0,I311/G311)</f>
        <v>0</v>
      </c>
      <c r="I311" s="196">
        <f>+INDEX('Budget révisé'!$A$2:$AO$496,MATCH($A311,'Budget révisé'!$A$2:$A$496,0),MATCH(I$2,'Budget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53"/>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53"/>
        <v>PiècesTotal Dépt. Pièces</v>
      </c>
      <c r="B313" s="24" t="s">
        <v>175</v>
      </c>
      <c r="C313" s="269" t="s">
        <v>190</v>
      </c>
      <c r="D313" s="26">
        <f>D308+D311</f>
        <v>370293.51072674349</v>
      </c>
      <c r="E313" s="71">
        <f>IF(D313&lt;=0,0,F313/D313)</f>
        <v>0.30309544741801731</v>
      </c>
      <c r="F313" s="28">
        <f t="shared" ref="F313" si="188">F308+F311</f>
        <v>112234.27730971071</v>
      </c>
      <c r="G313" s="29">
        <f>G308+G311</f>
        <v>370293.51072674349</v>
      </c>
      <c r="H313" s="71">
        <f>IF(G313&lt;=0,0,I313/G313)</f>
        <v>0.30309544741801731</v>
      </c>
      <c r="I313" s="28">
        <f t="shared" ref="I313" si="189">I308+I311</f>
        <v>112234.27730971071</v>
      </c>
      <c r="J313" s="29">
        <f t="shared" ref="J313" si="190">J308+J311</f>
        <v>324587.19999999995</v>
      </c>
      <c r="K313" s="71">
        <f>IF(J313&lt;=0,0,L313/J313)</f>
        <v>0.28579925517703725</v>
      </c>
      <c r="L313" s="28">
        <f>L308+L311</f>
        <v>92766.780000000013</v>
      </c>
      <c r="M313" s="72">
        <f>(+J313-G313)/G313</f>
        <v>-0.12343265383462881</v>
      </c>
      <c r="N313" s="73">
        <f>L313-I313</f>
        <v>-19467.497309710699</v>
      </c>
      <c r="O313" s="29">
        <f t="shared" ref="O313" si="191">O308+O311</f>
        <v>406858.98000000004</v>
      </c>
      <c r="P313" s="71">
        <f>IF(O313&lt;=0,0,Q313/O313)</f>
        <v>0.28379076209648857</v>
      </c>
      <c r="Q313" s="28">
        <f>Q308+Q311</f>
        <v>115462.82</v>
      </c>
      <c r="R313" s="72">
        <f>IF(O313=0,0,(J313-O313)/O313)</f>
        <v>-0.20221202933753626</v>
      </c>
      <c r="S313" s="270">
        <f>L313-Q313</f>
        <v>-22696.039999999994</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53"/>
        <v>Pièces</v>
      </c>
      <c r="B314" s="24" t="s">
        <v>175</v>
      </c>
      <c r="C314" s="271"/>
      <c r="D314" s="74"/>
      <c r="E314" s="75"/>
      <c r="F314" s="76"/>
      <c r="G314" s="77"/>
      <c r="H314" s="75"/>
      <c r="I314" s="76"/>
      <c r="J314" s="77"/>
      <c r="K314" s="75"/>
      <c r="L314" s="76"/>
      <c r="M314" s="78"/>
      <c r="N314" s="34">
        <f>N313/I313</f>
        <v>-0.17345411559064172</v>
      </c>
      <c r="O314" s="77"/>
      <c r="P314" s="75"/>
      <c r="Q314" s="76"/>
      <c r="R314" s="78"/>
      <c r="S314" s="272">
        <f>IF(Q313=0,0,S313/Q313)</f>
        <v>-0.19656578628514348</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53"/>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53"/>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53"/>
        <v>PiècesSalaires cadres</v>
      </c>
      <c r="B317" s="24" t="s">
        <v>175</v>
      </c>
      <c r="C317" s="280" t="s">
        <v>112</v>
      </c>
      <c r="D317" s="233"/>
      <c r="E317" s="233"/>
      <c r="F317" s="231">
        <f>+INDEX('Budget original'!$A$2:$AO$496,MATCH($A317,'Budget original'!$A$2:$A$496,0),MATCH(F$2,'Budget original'!$A$2:$AO$2,0))</f>
        <v>9312.4792762778889</v>
      </c>
      <c r="G317" s="227"/>
      <c r="H317" s="233"/>
      <c r="I317" s="231">
        <f>+INDEX('Budget révisé'!$A$2:$AO$496,MATCH($A317,'Budget révisé'!$A$2:$A$496,0),MATCH(I$2,'Budget révisé'!$A$2:$AO$2,0))</f>
        <v>9312.4792762778889</v>
      </c>
      <c r="J317" s="227"/>
      <c r="K317" s="233"/>
      <c r="L317" s="281">
        <f>SUMIFS(BV_Data_An_Cour!$O:$O,BV_Data_An_Cour!$U:$U,$B317,BV_Data_An_Cour!$V:$V,$C317,BV_Data_An_Cour!$W:$W,$L$2)</f>
        <v>4299.82</v>
      </c>
      <c r="M317" s="227"/>
      <c r="N317" s="232">
        <f t="shared" ref="N317:N328" si="192">L317-I317</f>
        <v>-5012.6592762778891</v>
      </c>
      <c r="O317" s="227"/>
      <c r="P317" s="233"/>
      <c r="Q317" s="281">
        <f>SUMIFS(BV_Data_An_Prec!$O:$O,BV_Data_An_Prec!$U:$U,$B317,BV_Data_An_Prec!$V:$V,$C317,BV_Data_An_Prec!$W:$W,$L$2)</f>
        <v>8309.5499999999993</v>
      </c>
      <c r="R317" s="227"/>
      <c r="S317" s="512">
        <f>L317-Q317</f>
        <v>-4009.7299999999996</v>
      </c>
      <c r="T317" s="222"/>
      <c r="U317" s="222"/>
      <c r="V317" s="222" t="s">
        <v>2879</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53"/>
        <v>PiècesSalaires commis</v>
      </c>
      <c r="B318" s="24" t="s">
        <v>175</v>
      </c>
      <c r="C318" s="282" t="s">
        <v>113</v>
      </c>
      <c r="D318" s="262"/>
      <c r="E318" s="233"/>
      <c r="F318" s="244">
        <f>+INDEX('Budget original'!$A$2:$AO$496,MATCH($A318,'Budget original'!$A$2:$A$496,0),MATCH(F$2,'Budget original'!$A$2:$AO$2,0))</f>
        <v>4457.4935733946359</v>
      </c>
      <c r="G318" s="283"/>
      <c r="H318" s="233"/>
      <c r="I318" s="244">
        <f>+INDEX('Budget révisé'!$A$2:$AO$496,MATCH($A318,'Budget révisé'!$A$2:$A$496,0),MATCH(I$2,'Budget révisé'!$A$2:$AO$2,0))</f>
        <v>4457.4935733946359</v>
      </c>
      <c r="J318" s="227"/>
      <c r="K318" s="233"/>
      <c r="L318" s="281">
        <f>SUMIFS(BV_Data_An_Cour!$O:$O,BV_Data_An_Cour!$U:$U,$B318,BV_Data_An_Cour!$V:$V,$C318,BV_Data_An_Cour!$W:$W,$L$2)</f>
        <v>3988</v>
      </c>
      <c r="M318" s="227"/>
      <c r="N318" s="232">
        <f t="shared" si="192"/>
        <v>-469.49357339463586</v>
      </c>
      <c r="O318" s="227"/>
      <c r="P318" s="233"/>
      <c r="Q318" s="281">
        <f>SUMIFS(BV_Data_An_Prec!$O:$O,BV_Data_An_Prec!$U:$U,$B318,BV_Data_An_Prec!$V:$V,$C318,BV_Data_An_Prec!$W:$W,$L$2)</f>
        <v>4151.07</v>
      </c>
      <c r="R318" s="227"/>
      <c r="S318" s="284">
        <f t="shared" ref="S318:S342" si="193">L318-Q318</f>
        <v>-163.06999999999971</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53"/>
        <v>PiècesSalaires autres</v>
      </c>
      <c r="B319" s="24" t="s">
        <v>175</v>
      </c>
      <c r="C319" s="280" t="s">
        <v>114</v>
      </c>
      <c r="D319" s="285"/>
      <c r="E319" s="286"/>
      <c r="F319" s="231">
        <f>+INDEX('Budget original'!$A$2:$AO$496,MATCH($A319,'Budget original'!$A$2:$A$496,0),MATCH(F$2,'Budget original'!$A$2:$AO$2,0))</f>
        <v>16566.671412622221</v>
      </c>
      <c r="G319" s="287"/>
      <c r="H319" s="286"/>
      <c r="I319" s="231">
        <f>+INDEX('Budget révisé'!$A$2:$AO$496,MATCH($A319,'Budget révisé'!$A$2:$A$496,0),MATCH(I$2,'Budget révisé'!$A$2:$AO$2,0))</f>
        <v>16566.671412622221</v>
      </c>
      <c r="J319" s="288"/>
      <c r="K319" s="286"/>
      <c r="L319" s="245">
        <f>SUMIFS(BV_Data_An_Cour!$O:$O,BV_Data_An_Cour!$U:$U,$B319,BV_Data_An_Cour!$V:$V,$C319,BV_Data_An_Cour!$W:$W,$L$2)</f>
        <v>17949.509999999998</v>
      </c>
      <c r="M319" s="288"/>
      <c r="N319" s="289">
        <f t="shared" si="192"/>
        <v>1382.838587377777</v>
      </c>
      <c r="O319" s="288"/>
      <c r="P319" s="286"/>
      <c r="Q319" s="245">
        <f>SUMIFS(BV_Data_An_Prec!$O:$O,BV_Data_An_Prec!$U:$U,$B319,BV_Data_An_Prec!$V:$V,$C319,BV_Data_An_Prec!$W:$W,$L$2)</f>
        <v>15813.12</v>
      </c>
      <c r="R319" s="288"/>
      <c r="S319" s="290">
        <f t="shared" si="193"/>
        <v>2136.3899999999976</v>
      </c>
      <c r="T319" s="222"/>
      <c r="U319" s="980"/>
      <c r="V319" s="980" t="s">
        <v>2880</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53"/>
        <v>PiècesSalaires spécialistes</v>
      </c>
      <c r="B320" s="24" t="s">
        <v>175</v>
      </c>
      <c r="C320" s="280" t="s">
        <v>115</v>
      </c>
      <c r="D320" s="262"/>
      <c r="E320" s="233"/>
      <c r="F320" s="231">
        <f>+INDEX('Budget original'!$A$2:$AO$496,MATCH($A320,'Budget original'!$A$2:$A$496,0),MATCH(F$2,'Budget original'!$A$2:$AO$2,0))</f>
        <v>0</v>
      </c>
      <c r="G320" s="283"/>
      <c r="H320" s="233"/>
      <c r="I320" s="231">
        <f>+INDEX('Budget révisé'!$A$2:$AO$496,MATCH($A320,'Budget révisé'!$A$2:$A$496,0),MATCH(I$2,'Budget révisé'!$A$2:$AO$2,0))</f>
        <v>0</v>
      </c>
      <c r="J320" s="227"/>
      <c r="K320" s="233"/>
      <c r="L320" s="281">
        <f>SUMIFS(BV_Data_An_Cour!$O:$O,BV_Data_An_Cour!$U:$U,$B320,BV_Data_An_Cour!$V:$V,$C320,BV_Data_An_Cour!$W:$W,$L$2)</f>
        <v>0</v>
      </c>
      <c r="M320" s="227"/>
      <c r="N320" s="232">
        <f t="shared" si="192"/>
        <v>0</v>
      </c>
      <c r="O320" s="227"/>
      <c r="P320" s="233"/>
      <c r="Q320" s="281">
        <f>SUMIFS(BV_Data_An_Prec!$O:$O,BV_Data_An_Prec!$U:$U,$B320,BV_Data_An_Prec!$V:$V,$C320,BV_Data_An_Prec!$W:$W,$L$2)</f>
        <v>0</v>
      </c>
      <c r="R320" s="227"/>
      <c r="S320" s="284">
        <f t="shared" si="193"/>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tr">
        <f t="shared" ref="A321:A323" si="194">+B321&amp;C321</f>
        <v>Pièces[...]</v>
      </c>
      <c r="B321" s="24" t="s">
        <v>175</v>
      </c>
      <c r="C321" s="635" t="s">
        <v>42</v>
      </c>
      <c r="D321" s="262"/>
      <c r="E321" s="233"/>
      <c r="F321" s="231">
        <f>+INDEX('Budget original'!$A$2:$AO$496,MATCH($A321,'Budget original'!$A$2:$A$496,0),MATCH(F$2,'Budget original'!$A$2:$AO$2,0))</f>
        <v>0</v>
      </c>
      <c r="G321" s="283"/>
      <c r="H321" s="233"/>
      <c r="I321" s="231">
        <f>+INDEX('Budget révisé'!$A$2:$AO$496,MATCH($A321,'Budget révisé'!$A$2:$A$496,0),MATCH(I$2,'Budget révisé'!$A$2:$AO$2,0))</f>
        <v>0</v>
      </c>
      <c r="J321" s="227"/>
      <c r="K321" s="233"/>
      <c r="L321" s="281">
        <f>SUMIFS(BV_Data_An_Cour!$O:$O,BV_Data_An_Cour!$U:$U,$B321,BV_Data_An_Cour!$V:$V,$C321,BV_Data_An_Cour!$W:$W,$L$2)</f>
        <v>0</v>
      </c>
      <c r="M321" s="227"/>
      <c r="N321" s="232">
        <f t="shared" ref="N321:N323" si="195">L321-I321</f>
        <v>0</v>
      </c>
      <c r="O321" s="227"/>
      <c r="P321" s="233"/>
      <c r="Q321" s="281">
        <f>SUMIFS(BV_Data_An_Prec!$O:$O,BV_Data_An_Prec!$U:$U,$B321,BV_Data_An_Prec!$V:$V,$C321,BV_Data_An_Prec!$W:$W,$L$2)</f>
        <v>0</v>
      </c>
      <c r="R321" s="227"/>
      <c r="S321" s="284">
        <f t="shared" ref="S321:S323" si="196">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tr">
        <f t="shared" si="194"/>
        <v>Pièces[...]</v>
      </c>
      <c r="B322" s="24" t="s">
        <v>175</v>
      </c>
      <c r="C322" s="635" t="s">
        <v>42</v>
      </c>
      <c r="D322" s="262"/>
      <c r="E322" s="233"/>
      <c r="F322" s="231">
        <f>+INDEX('Budget original'!$A$2:$AO$496,MATCH($A322,'Budget original'!$A$2:$A$496,0),MATCH(F$2,'Budget original'!$A$2:$AO$2,0))</f>
        <v>0</v>
      </c>
      <c r="G322" s="283"/>
      <c r="H322" s="233"/>
      <c r="I322" s="231">
        <f>+INDEX('Budget révisé'!$A$2:$AO$496,MATCH($A322,'Budget révisé'!$A$2:$A$496,0),MATCH(I$2,'Budget révisé'!$A$2:$AO$2,0))</f>
        <v>0</v>
      </c>
      <c r="J322" s="227"/>
      <c r="K322" s="233"/>
      <c r="L322" s="281">
        <f>SUMIFS(BV_Data_An_Cour!$O:$O,BV_Data_An_Cour!$U:$U,$B322,BV_Data_An_Cour!$V:$V,$C322,BV_Data_An_Cour!$W:$W,$L$2)</f>
        <v>0</v>
      </c>
      <c r="M322" s="227"/>
      <c r="N322" s="232">
        <f t="shared" si="195"/>
        <v>0</v>
      </c>
      <c r="O322" s="227"/>
      <c r="P322" s="233"/>
      <c r="Q322" s="281">
        <f>SUMIFS(BV_Data_An_Prec!$O:$O,BV_Data_An_Prec!$U:$U,$B322,BV_Data_An_Prec!$V:$V,$C322,BV_Data_An_Prec!$W:$W,$L$2)</f>
        <v>0</v>
      </c>
      <c r="R322" s="227"/>
      <c r="S322" s="284">
        <f t="shared" si="196"/>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tr">
        <f t="shared" si="194"/>
        <v>Pièces[...]</v>
      </c>
      <c r="B323" s="24" t="s">
        <v>175</v>
      </c>
      <c r="C323" s="635" t="s">
        <v>42</v>
      </c>
      <c r="D323" s="262"/>
      <c r="E323" s="233"/>
      <c r="F323" s="231">
        <f>+INDEX('Budget original'!$A$2:$AO$496,MATCH($A323,'Budget original'!$A$2:$A$496,0),MATCH(F$2,'Budget original'!$A$2:$AO$2,0))</f>
        <v>0</v>
      </c>
      <c r="G323" s="283"/>
      <c r="H323" s="233"/>
      <c r="I323" s="231">
        <f>+INDEX('Budget révisé'!$A$2:$AO$496,MATCH($A323,'Budget révisé'!$A$2:$A$496,0),MATCH(I$2,'Budget révisé'!$A$2:$AO$2,0))</f>
        <v>0</v>
      </c>
      <c r="J323" s="227"/>
      <c r="K323" s="233"/>
      <c r="L323" s="281">
        <f>SUMIFS(BV_Data_An_Cour!$O:$O,BV_Data_An_Cour!$U:$U,$B323,BV_Data_An_Cour!$V:$V,$C323,BV_Data_An_Cour!$W:$W,$L$2)</f>
        <v>0</v>
      </c>
      <c r="M323" s="227"/>
      <c r="N323" s="232">
        <f t="shared" si="195"/>
        <v>0</v>
      </c>
      <c r="O323" s="227"/>
      <c r="P323" s="233"/>
      <c r="Q323" s="281">
        <f>SUMIFS(BV_Data_An_Prec!$O:$O,BV_Data_An_Prec!$U:$U,$B323,BV_Data_An_Prec!$V:$V,$C323,BV_Data_An_Prec!$W:$W,$L$2)</f>
        <v>0</v>
      </c>
      <c r="R323" s="227"/>
      <c r="S323" s="284">
        <f t="shared" si="196"/>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53"/>
        <v>PiècesSalaires en absences</v>
      </c>
      <c r="B324" s="24" t="s">
        <v>175</v>
      </c>
      <c r="C324" s="282" t="s">
        <v>116</v>
      </c>
      <c r="D324" s="262"/>
      <c r="E324" s="233"/>
      <c r="F324" s="244">
        <f>+INDEX('Budget original'!$A$2:$AO$496,MATCH($A324,'Budget original'!$A$2:$A$496,0),MATCH(F$2,'Budget original'!$A$2:$AO$2,0))</f>
        <v>3640.3973114753694</v>
      </c>
      <c r="G324" s="283"/>
      <c r="H324" s="233"/>
      <c r="I324" s="244">
        <f>+INDEX('Budget révisé'!$A$2:$AO$496,MATCH($A324,'Budget révisé'!$A$2:$A$496,0),MATCH(I$2,'Budget révisé'!$A$2:$AO$2,0))</f>
        <v>3640.3973114753694</v>
      </c>
      <c r="J324" s="227"/>
      <c r="K324" s="233"/>
      <c r="L324" s="281">
        <f>SUMIFS(BV_Data_An_Cour!$O:$O,BV_Data_An_Cour!$U:$U,$B324,BV_Data_An_Cour!$V:$V,$C324,BV_Data_An_Cour!$W:$W,$L$2)</f>
        <v>3361.6</v>
      </c>
      <c r="M324" s="227"/>
      <c r="N324" s="232">
        <f t="shared" si="192"/>
        <v>-278.7973114753695</v>
      </c>
      <c r="O324" s="227"/>
      <c r="P324" s="233"/>
      <c r="Q324" s="281">
        <f>SUMIFS(BV_Data_An_Prec!$O:$O,BV_Data_An_Prec!$U:$U,$B324,BV_Data_An_Prec!$V:$V,$C324,BV_Data_An_Prec!$W:$W,$L$2)</f>
        <v>3548.82</v>
      </c>
      <c r="R324" s="227"/>
      <c r="S324" s="284">
        <f t="shared" si="193"/>
        <v>-187.22000000000025</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53"/>
        <v>PiècesDéduction à la source</v>
      </c>
      <c r="B325" s="24" t="s">
        <v>175</v>
      </c>
      <c r="C325" s="280" t="s">
        <v>117</v>
      </c>
      <c r="D325" s="285"/>
      <c r="E325" s="286"/>
      <c r="F325" s="231">
        <f>+INDEX('Budget original'!$A$2:$AO$496,MATCH($A325,'Budget original'!$A$2:$A$496,0),MATCH(F$2,'Budget original'!$A$2:$AO$2,0))</f>
        <v>3640.3973114753694</v>
      </c>
      <c r="G325" s="287"/>
      <c r="H325" s="286"/>
      <c r="I325" s="231">
        <f>+INDEX('Budget révisé'!$A$2:$AO$496,MATCH($A325,'Budget révisé'!$A$2:$A$496,0),MATCH(I$2,'Budget révisé'!$A$2:$AO$2,0))</f>
        <v>3640.3973114753694</v>
      </c>
      <c r="J325" s="288"/>
      <c r="K325" s="286"/>
      <c r="L325" s="245">
        <f>SUMIFS(BV_Data_An_Cour!$O:$O,BV_Data_An_Cour!$U:$U,$B325,BV_Data_An_Cour!$V:$V,$C325,BV_Data_An_Cour!$W:$W,$L$2)</f>
        <v>48.61</v>
      </c>
      <c r="M325" s="288"/>
      <c r="N325" s="289">
        <f t="shared" si="192"/>
        <v>-3591.7873114753693</v>
      </c>
      <c r="O325" s="288"/>
      <c r="P325" s="286"/>
      <c r="Q325" s="245">
        <f>SUMIFS(BV_Data_An_Prec!$O:$O,BV_Data_An_Prec!$U:$U,$B325,BV_Data_An_Prec!$V:$V,$C325,BV_Data_An_Prec!$W:$W,$L$2)</f>
        <v>0</v>
      </c>
      <c r="R325" s="288"/>
      <c r="S325" s="290">
        <f t="shared" si="193"/>
        <v>48.61</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53"/>
        <v>PiècesBénéfices marginaux</v>
      </c>
      <c r="B326" s="24" t="s">
        <v>175</v>
      </c>
      <c r="C326" s="280" t="s">
        <v>118</v>
      </c>
      <c r="D326" s="262"/>
      <c r="E326" s="233"/>
      <c r="F326" s="231">
        <f>+INDEX('Budget original'!$A$2:$AO$496,MATCH($A326,'Budget original'!$A$2:$A$496,0),MATCH(F$2,'Budget original'!$A$2:$AO$2,0))</f>
        <v>2608.951406557348</v>
      </c>
      <c r="G326" s="283"/>
      <c r="H326" s="233"/>
      <c r="I326" s="231">
        <f>+INDEX('Budget révisé'!$A$2:$AO$496,MATCH($A326,'Budget révisé'!$A$2:$A$496,0),MATCH(I$2,'Budget révisé'!$A$2:$AO$2,0))</f>
        <v>2608.951406557348</v>
      </c>
      <c r="J326" s="227"/>
      <c r="K326" s="233"/>
      <c r="L326" s="281">
        <f>SUMIFS(BV_Data_An_Cour!$O:$O,BV_Data_An_Cour!$U:$U,$B326,BV_Data_An_Cour!$V:$V,$C326,BV_Data_An_Cour!$W:$W,$L$2)</f>
        <v>2255.4299999999998</v>
      </c>
      <c r="M326" s="227"/>
      <c r="N326" s="232">
        <f t="shared" si="192"/>
        <v>-353.5214065573482</v>
      </c>
      <c r="O326" s="227"/>
      <c r="P326" s="233"/>
      <c r="Q326" s="281">
        <f>SUMIFS(BV_Data_An_Prec!$O:$O,BV_Data_An_Prec!$U:$U,$B326,BV_Data_An_Prec!$V:$V,$C326,BV_Data_An_Prec!$W:$W,$L$2)</f>
        <v>4163.8500000000004</v>
      </c>
      <c r="R326" s="227"/>
      <c r="S326" s="284">
        <f t="shared" si="193"/>
        <v>-1908.4200000000005</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53"/>
        <v>PiècesCsst</v>
      </c>
      <c r="B327" s="24" t="s">
        <v>175</v>
      </c>
      <c r="C327" s="280" t="s">
        <v>119</v>
      </c>
      <c r="D327" s="262"/>
      <c r="E327" s="233"/>
      <c r="F327" s="231">
        <f>+INDEX('Budget original'!$A$2:$AO$496,MATCH($A327,'Budget original'!$A$2:$A$496,0),MATCH(F$2,'Budget original'!$A$2:$AO$2,0))</f>
        <v>606.73288524589498</v>
      </c>
      <c r="G327" s="283"/>
      <c r="H327" s="233"/>
      <c r="I327" s="231">
        <f>+INDEX('Budget révisé'!$A$2:$AO$496,MATCH($A327,'Budget révisé'!$A$2:$A$496,0),MATCH(I$2,'Budget révisé'!$A$2:$AO$2,0))</f>
        <v>606.73288524589498</v>
      </c>
      <c r="J327" s="227"/>
      <c r="K327" s="233"/>
      <c r="L327" s="281">
        <f>SUMIFS(BV_Data_An_Cour!$O:$O,BV_Data_An_Cour!$U:$U,$B327,BV_Data_An_Cour!$V:$V,$C327,BV_Data_An_Cour!$W:$W,$L$2)</f>
        <v>3623.0199999999995</v>
      </c>
      <c r="M327" s="227"/>
      <c r="N327" s="232">
        <f t="shared" si="192"/>
        <v>3016.2871147541046</v>
      </c>
      <c r="O327" s="227"/>
      <c r="P327" s="233"/>
      <c r="Q327" s="281">
        <f>SUMIFS(BV_Data_An_Prec!$O:$O,BV_Data_An_Prec!$U:$U,$B327,BV_Data_An_Prec!$V:$V,$C327,BV_Data_An_Prec!$W:$W,$L$2)</f>
        <v>4322.6499999999996</v>
      </c>
      <c r="R327" s="227"/>
      <c r="S327" s="284">
        <f t="shared" si="193"/>
        <v>-699.63000000000011</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53"/>
        <v>Pièces[...]</v>
      </c>
      <c r="B328" s="24" t="s">
        <v>175</v>
      </c>
      <c r="C328" s="291" t="s">
        <v>42</v>
      </c>
      <c r="D328" s="292"/>
      <c r="E328" s="293"/>
      <c r="F328" s="231">
        <f>+INDEX('Budget original'!$A$2:$AO$496,MATCH($A328,'Budget original'!$A$2:$A$496,0),MATCH(F$2,'Budget original'!$A$2:$AO$2,0))</f>
        <v>0</v>
      </c>
      <c r="G328" s="294"/>
      <c r="H328" s="293"/>
      <c r="I328" s="231">
        <f>+INDEX('Budget révisé'!$A$2:$AO$496,MATCH($A328,'Budget révisé'!$A$2:$A$496,0),MATCH(I$2,'Budget révisé'!$A$2:$AO$2,0))</f>
        <v>0</v>
      </c>
      <c r="J328" s="295"/>
      <c r="K328" s="293"/>
      <c r="L328" s="281">
        <f>SUMIFS(BV_Data_An_Cour!$O:$O,BV_Data_An_Cour!$U:$U,$B328,BV_Data_An_Cour!$V:$V,$C328,BV_Data_An_Cour!$W:$W,$L$2)</f>
        <v>0</v>
      </c>
      <c r="M328" s="295"/>
      <c r="N328" s="296">
        <f t="shared" si="192"/>
        <v>0</v>
      </c>
      <c r="O328" s="295"/>
      <c r="P328" s="293"/>
      <c r="Q328" s="281">
        <f>SUMIFS(BV_Data_An_Prec!$O:$O,BV_Data_An_Prec!$U:$U,$B328,BV_Data_An_Prec!$V:$V,$C328,BV_Data_An_Prec!$W:$W,$L$2)</f>
        <v>0</v>
      </c>
      <c r="R328" s="295"/>
      <c r="S328" s="297">
        <f t="shared" si="193"/>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53"/>
        <v>PiècesTOTAL PERSONNEL</v>
      </c>
      <c r="B329" s="24" t="s">
        <v>175</v>
      </c>
      <c r="C329" s="298" t="s">
        <v>120</v>
      </c>
      <c r="D329" s="39" t="s">
        <v>111</v>
      </c>
      <c r="E329" s="40">
        <f>F329/F$313</f>
        <v>0.36382043129631103</v>
      </c>
      <c r="F329" s="41">
        <f>+SUM(F317:F328)</f>
        <v>40833.123177048728</v>
      </c>
      <c r="G329" s="42" t="s">
        <v>111</v>
      </c>
      <c r="H329" s="40">
        <f>I329/I$313</f>
        <v>0.36382043129631103</v>
      </c>
      <c r="I329" s="41">
        <f>+SUM(I317:I328)</f>
        <v>40833.123177048728</v>
      </c>
      <c r="J329" s="42" t="s">
        <v>111</v>
      </c>
      <c r="K329" s="40">
        <f>L329/L$313</f>
        <v>0.38296025797165745</v>
      </c>
      <c r="L329" s="41">
        <f>+SUM(L317:L328)</f>
        <v>35525.99</v>
      </c>
      <c r="M329" s="43"/>
      <c r="N329" s="46">
        <f t="shared" ref="N329:N342" si="197">L329-I329</f>
        <v>-5307.1331770487304</v>
      </c>
      <c r="O329" s="42" t="s">
        <v>111</v>
      </c>
      <c r="P329" s="40">
        <f>Q329/Q$313</f>
        <v>0.34910857018735553</v>
      </c>
      <c r="Q329" s="41">
        <f>+SUM(Q317:Q328)</f>
        <v>40309.06</v>
      </c>
      <c r="R329" s="43"/>
      <c r="S329" s="299">
        <f t="shared" si="193"/>
        <v>-4783.07</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53"/>
        <v>PiècesPublicité 2</v>
      </c>
      <c r="B330" s="24" t="s">
        <v>175</v>
      </c>
      <c r="C330" s="552" t="s">
        <v>121</v>
      </c>
      <c r="D330" s="301"/>
      <c r="E330" s="178"/>
      <c r="F330" s="179">
        <f>+INDEX('Budget original'!$A$2:$AO$496,MATCH($A330,'Budget original'!$A$2:$A$496,0),MATCH(F$2,'Budget original'!$A$2:$AO$2,0))</f>
        <v>3808.6416666666664</v>
      </c>
      <c r="G330" s="302"/>
      <c r="H330" s="178"/>
      <c r="I330" s="179">
        <f>+INDEX('Budget révisé'!$A$2:$AO$496,MATCH($A330,'Budget révisé'!$A$2:$A$496,0),MATCH(I$2,'Budget révisé'!$A$2:$AO$2,0))</f>
        <v>3808.6416666666664</v>
      </c>
      <c r="J330" s="303"/>
      <c r="K330" s="178"/>
      <c r="L330" s="281">
        <f>SUMIFS(BV_Data_An_Cour!$O:$O,BV_Data_An_Cour!$U:$U,$B330,BV_Data_An_Cour!$V:$V,$C330,BV_Data_An_Cour!$W:$W,$L$2)</f>
        <v>3836.47</v>
      </c>
      <c r="M330" s="303"/>
      <c r="N330" s="304">
        <f t="shared" si="197"/>
        <v>27.828333333333376</v>
      </c>
      <c r="O330" s="303"/>
      <c r="P330" s="178"/>
      <c r="Q330" s="281">
        <f>SUMIFS(BV_Data_An_Prec!$O:$O,BV_Data_An_Prec!$U:$U,$B330,BV_Data_An_Prec!$V:$V,$C330,BV_Data_An_Prec!$W:$W,$L$2)</f>
        <v>6556.06</v>
      </c>
      <c r="R330" s="303"/>
      <c r="S330" s="199">
        <f t="shared" si="193"/>
        <v>-2719.5900000000006</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53"/>
        <v>PiècesService gratuit 2</v>
      </c>
      <c r="B331" s="24" t="s">
        <v>175</v>
      </c>
      <c r="C331" s="305" t="s">
        <v>122</v>
      </c>
      <c r="D331" s="301"/>
      <c r="E331" s="178"/>
      <c r="F331" s="179">
        <f>+INDEX('Budget original'!$A$2:$AO$496,MATCH($A331,'Budget original'!$A$2:$A$496,0),MATCH(F$2,'Budget original'!$A$2:$AO$2,0))</f>
        <v>1772.5775029718116</v>
      </c>
      <c r="G331" s="302"/>
      <c r="H331" s="178"/>
      <c r="I331" s="179">
        <f>+INDEX('Budget révisé'!$A$2:$AO$496,MATCH($A331,'Budget révisé'!$A$2:$A$496,0),MATCH(I$2,'Budget révisé'!$A$2:$AO$2,0))</f>
        <v>1772.5775029718116</v>
      </c>
      <c r="J331" s="303"/>
      <c r="K331" s="178"/>
      <c r="L331" s="180">
        <f>SUMIFS(BV_Data_An_Cour!$O:$O,BV_Data_An_Cour!$U:$U,$B331,BV_Data_An_Cour!$V:$V,$C331,BV_Data_An_Cour!$W:$W,$L$2)</f>
        <v>-30.06</v>
      </c>
      <c r="M331" s="303"/>
      <c r="N331" s="304">
        <f t="shared" si="197"/>
        <v>-1802.6375029718115</v>
      </c>
      <c r="O331" s="303"/>
      <c r="P331" s="178"/>
      <c r="Q331" s="180">
        <f>SUMIFS(BV_Data_An_Prec!$O:$O,BV_Data_An_Prec!$U:$U,$B331,BV_Data_An_Prec!$V:$V,$C331,BV_Data_An_Prec!$W:$W,$L$2)</f>
        <v>0</v>
      </c>
      <c r="R331" s="303"/>
      <c r="S331" s="199">
        <f t="shared" si="193"/>
        <v>-30.06</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53"/>
        <v>PiècesFrais véhicules de cie</v>
      </c>
      <c r="B332" s="24" t="s">
        <v>175</v>
      </c>
      <c r="C332" s="306" t="s">
        <v>123</v>
      </c>
      <c r="D332" s="307"/>
      <c r="E332" s="308"/>
      <c r="F332" s="177">
        <f>+INDEX('Budget original'!$A$2:$AO$496,MATCH($A332,'Budget original'!$A$2:$A$496,0),MATCH(F$2,'Budget original'!$A$2:$AO$2,0))</f>
        <v>285.5</v>
      </c>
      <c r="G332" s="309"/>
      <c r="H332" s="308"/>
      <c r="I332" s="177">
        <f>+INDEX('Budget révisé'!$A$2:$AO$496,MATCH($A332,'Budget révisé'!$A$2:$A$496,0),MATCH(I$2,'Budget révisé'!$A$2:$AO$2,0))</f>
        <v>285.5</v>
      </c>
      <c r="J332" s="310"/>
      <c r="K332" s="308"/>
      <c r="L332" s="180">
        <f>SUMIFS(BV_Data_An_Cour!$O:$O,BV_Data_An_Cour!$U:$U,$B332,BV_Data_An_Cour!$V:$V,$C332,BV_Data_An_Cour!$W:$W,$L$2)</f>
        <v>348.59</v>
      </c>
      <c r="M332" s="310"/>
      <c r="N332" s="311">
        <f t="shared" si="197"/>
        <v>63.089999999999975</v>
      </c>
      <c r="O332" s="310"/>
      <c r="P332" s="308"/>
      <c r="Q332" s="180">
        <f>SUMIFS(BV_Data_An_Prec!$O:$O,BV_Data_An_Prec!$U:$U,$B332,BV_Data_An_Prec!$V:$V,$C332,BV_Data_An_Prec!$W:$W,$L$2)</f>
        <v>1097.75</v>
      </c>
      <c r="R332" s="310"/>
      <c r="S332" s="202">
        <f t="shared" si="193"/>
        <v>-749.16000000000008</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53"/>
        <v>PiècesInformatique</v>
      </c>
      <c r="B333" s="24" t="s">
        <v>175</v>
      </c>
      <c r="C333" s="305" t="s">
        <v>124</v>
      </c>
      <c r="D333" s="301"/>
      <c r="E333" s="178"/>
      <c r="F333" s="179">
        <f>+INDEX('Budget original'!$A$2:$AO$496,MATCH($A333,'Budget original'!$A$2:$A$496,0),MATCH(F$2,'Budget original'!$A$2:$AO$2,0))</f>
        <v>4280.7783333333336</v>
      </c>
      <c r="G333" s="302"/>
      <c r="H333" s="178"/>
      <c r="I333" s="179">
        <f>+INDEX('Budget révisé'!$A$2:$AO$496,MATCH($A333,'Budget révisé'!$A$2:$A$496,0),MATCH(I$2,'Budget révisé'!$A$2:$AO$2,0))</f>
        <v>4280.7783333333336</v>
      </c>
      <c r="J333" s="303"/>
      <c r="K333" s="178"/>
      <c r="L333" s="181">
        <f>SUMIFS(BV_Data_An_Cour!$O:$O,BV_Data_An_Cour!$U:$U,$B333,BV_Data_An_Cour!$V:$V,$C333,BV_Data_An_Cour!$W:$W,$L$2)</f>
        <v>4099.2299999999996</v>
      </c>
      <c r="M333" s="303"/>
      <c r="N333" s="304">
        <f t="shared" si="197"/>
        <v>-181.54833333333409</v>
      </c>
      <c r="O333" s="303"/>
      <c r="P333" s="178"/>
      <c r="Q333" s="181">
        <f>SUMIFS(BV_Data_An_Prec!$O:$O,BV_Data_An_Prec!$U:$U,$B333,BV_Data_An_Prec!$V:$V,$C333,BV_Data_An_Prec!$W:$W,$L$2)</f>
        <v>3686.92</v>
      </c>
      <c r="R333" s="303"/>
      <c r="S333" s="199">
        <f t="shared" si="193"/>
        <v>412.30999999999949</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53"/>
        <v>PiècesFrais de déplacement</v>
      </c>
      <c r="B334" s="24" t="s">
        <v>175</v>
      </c>
      <c r="C334" s="305" t="s">
        <v>125</v>
      </c>
      <c r="D334" s="301"/>
      <c r="E334" s="178"/>
      <c r="F334" s="179">
        <f>+INDEX('Budget original'!$A$2:$AO$496,MATCH($A334,'Budget original'!$A$2:$A$496,0),MATCH(F$2,'Budget original'!$A$2:$AO$2,0))</f>
        <v>1247.2631249999999</v>
      </c>
      <c r="G334" s="302"/>
      <c r="H334" s="178"/>
      <c r="I334" s="179">
        <f>+INDEX('Budget révisé'!$A$2:$AO$496,MATCH($A334,'Budget révisé'!$A$2:$A$496,0),MATCH(I$2,'Budget révisé'!$A$2:$AO$2,0))</f>
        <v>1247.2631249999999</v>
      </c>
      <c r="J334" s="303"/>
      <c r="K334" s="178"/>
      <c r="L334" s="180">
        <f>SUMIFS(BV_Data_An_Cour!$O:$O,BV_Data_An_Cour!$U:$U,$B334,BV_Data_An_Cour!$V:$V,$C334,BV_Data_An_Cour!$W:$W,$L$2)</f>
        <v>874.68</v>
      </c>
      <c r="M334" s="303"/>
      <c r="N334" s="304">
        <f t="shared" si="197"/>
        <v>-372.583125</v>
      </c>
      <c r="O334" s="303"/>
      <c r="P334" s="178"/>
      <c r="Q334" s="180">
        <f>SUMIFS(BV_Data_An_Prec!$O:$O,BV_Data_An_Prec!$U:$U,$B334,BV_Data_An_Prec!$V:$V,$C334,BV_Data_An_Prec!$W:$W,$L$2)</f>
        <v>1519.25</v>
      </c>
      <c r="R334" s="303"/>
      <c r="S334" s="199">
        <f t="shared" si="193"/>
        <v>-644.57000000000005</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53"/>
        <v>PiècesServices extérieurs</v>
      </c>
      <c r="B335" s="24" t="s">
        <v>175</v>
      </c>
      <c r="C335" s="687" t="s">
        <v>126</v>
      </c>
      <c r="D335" s="307"/>
      <c r="E335" s="308"/>
      <c r="F335" s="177">
        <f>+INDEX('Budget original'!$A$2:$AO$496,MATCH($A335,'Budget original'!$A$2:$A$496,0),MATCH(F$2,'Budget original'!$A$2:$AO$2,0))</f>
        <v>7507.8482083333329</v>
      </c>
      <c r="G335" s="309"/>
      <c r="H335" s="308"/>
      <c r="I335" s="177">
        <f>+INDEX('Budget révisé'!$A$2:$AO$496,MATCH($A335,'Budget révisé'!$A$2:$A$496,0),MATCH(I$2,'Budget révisé'!$A$2:$AO$2,0))</f>
        <v>7507.8482083333329</v>
      </c>
      <c r="J335" s="310"/>
      <c r="K335" s="308"/>
      <c r="L335" s="405">
        <f>SUMIFS(BV_Data_An_Cour!$O:$O,BV_Data_An_Cour!$U:$U,$B335,BV_Data_An_Cour!$V:$V,$C335,BV_Data_An_Cour!$W:$W,$L$2)</f>
        <v>5339.09</v>
      </c>
      <c r="M335" s="310"/>
      <c r="N335" s="311">
        <f t="shared" si="197"/>
        <v>-2168.7582083333327</v>
      </c>
      <c r="O335" s="310"/>
      <c r="P335" s="308"/>
      <c r="Q335" s="405">
        <f>SUMIFS(BV_Data_An_Prec!$O:$O,BV_Data_An_Prec!$U:$U,$B335,BV_Data_An_Prec!$V:$V,$C335,BV_Data_An_Prec!$W:$W,$L$2)</f>
        <v>10298.48</v>
      </c>
      <c r="R335" s="310"/>
      <c r="S335" s="202">
        <f t="shared" si="193"/>
        <v>-4959.3899999999994</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tr">
        <f t="shared" ref="A336" si="198">+B336&amp;C336</f>
        <v>PiècesFournitures d'atelier</v>
      </c>
      <c r="B336" s="24" t="s">
        <v>175</v>
      </c>
      <c r="C336" s="305" t="s">
        <v>1996</v>
      </c>
      <c r="D336" s="301"/>
      <c r="E336" s="178"/>
      <c r="F336" s="179"/>
      <c r="G336" s="302"/>
      <c r="H336" s="178"/>
      <c r="I336" s="179"/>
      <c r="J336" s="303"/>
      <c r="K336" s="178"/>
      <c r="L336" s="180">
        <f>SUMIFS(BV_Data_An_Cour!$O:$O,BV_Data_An_Cour!$U:$U,$B336,BV_Data_An_Cour!$V:$V,$C336,BV_Data_An_Cour!$W:$W,$L$2)</f>
        <v>0</v>
      </c>
      <c r="M336" s="303"/>
      <c r="N336" s="304">
        <f t="shared" ref="N336" si="199">L336-I336</f>
        <v>0</v>
      </c>
      <c r="O336" s="303"/>
      <c r="P336" s="178"/>
      <c r="Q336" s="180">
        <f>SUMIFS(BV_Data_An_Prec!$O:$O,BV_Data_An_Prec!$U:$U,$B336,BV_Data_An_Prec!$V:$V,$C336,BV_Data_An_Prec!$W:$W,$L$2)</f>
        <v>0</v>
      </c>
      <c r="R336" s="303"/>
      <c r="S336" s="199">
        <f t="shared" ref="S336" si="200">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53"/>
        <v>PiècesFournitures autres</v>
      </c>
      <c r="B337" s="24" t="s">
        <v>175</v>
      </c>
      <c r="C337" s="305" t="s">
        <v>127</v>
      </c>
      <c r="D337" s="301"/>
      <c r="E337" s="178"/>
      <c r="F337" s="179">
        <f>+INDEX('Budget original'!$A$2:$AO$496,MATCH($A337,'Budget original'!$A$2:$A$496,0),MATCH(F$2,'Budget original'!$A$2:$AO$2,0))</f>
        <v>132</v>
      </c>
      <c r="G337" s="302"/>
      <c r="H337" s="178"/>
      <c r="I337" s="179">
        <f>+INDEX('Budget révisé'!$A$2:$AO$496,MATCH($A337,'Budget révisé'!$A$2:$A$496,0),MATCH(I$2,'Budget révisé'!$A$2:$AO$2,0))</f>
        <v>132</v>
      </c>
      <c r="J337" s="303"/>
      <c r="K337" s="178"/>
      <c r="L337" s="180">
        <f>SUMIFS(BV_Data_An_Cour!$O:$O,BV_Data_An_Cour!$U:$U,$B337,BV_Data_An_Cour!$V:$V,$C337,BV_Data_An_Cour!$W:$W,$L$2)</f>
        <v>28.95</v>
      </c>
      <c r="M337" s="303"/>
      <c r="N337" s="304">
        <f t="shared" si="197"/>
        <v>-103.05</v>
      </c>
      <c r="O337" s="303"/>
      <c r="P337" s="178"/>
      <c r="Q337" s="180">
        <f>SUMIFS(BV_Data_An_Prec!$O:$O,BV_Data_An_Prec!$U:$U,$B337,BV_Data_An_Prec!$V:$V,$C337,BV_Data_An_Prec!$W:$W,$L$2)</f>
        <v>110</v>
      </c>
      <c r="R337" s="303"/>
      <c r="S337" s="199">
        <f t="shared" si="193"/>
        <v>-81.05</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53"/>
        <v>PiècesUniformes</v>
      </c>
      <c r="B338" s="24" t="s">
        <v>175</v>
      </c>
      <c r="C338" s="305" t="s">
        <v>128</v>
      </c>
      <c r="D338" s="301"/>
      <c r="E338" s="178"/>
      <c r="F338" s="179">
        <f>+INDEX('Budget original'!$A$2:$AO$496,MATCH($A338,'Budget original'!$A$2:$A$496,0),MATCH(F$2,'Budget original'!$A$2:$AO$2,0))</f>
        <v>170</v>
      </c>
      <c r="G338" s="302"/>
      <c r="H338" s="178"/>
      <c r="I338" s="179">
        <f>+INDEX('Budget révisé'!$A$2:$AO$496,MATCH($A338,'Budget révisé'!$A$2:$A$496,0),MATCH(I$2,'Budget révisé'!$A$2:$AO$2,0))</f>
        <v>170</v>
      </c>
      <c r="J338" s="303"/>
      <c r="K338" s="178"/>
      <c r="L338" s="180">
        <f>SUMIFS(BV_Data_An_Cour!$O:$O,BV_Data_An_Cour!$U:$U,$B338,BV_Data_An_Cour!$V:$V,$C338,BV_Data_An_Cour!$W:$W,$L$2)</f>
        <v>0</v>
      </c>
      <c r="M338" s="303"/>
      <c r="N338" s="304">
        <f t="shared" si="197"/>
        <v>-170</v>
      </c>
      <c r="O338" s="303"/>
      <c r="P338" s="178"/>
      <c r="Q338" s="180">
        <f>SUMIFS(BV_Data_An_Prec!$O:$O,BV_Data_An_Prec!$U:$U,$B338,BV_Data_An_Prec!$V:$V,$C338,BV_Data_An_Prec!$W:$W,$L$2)</f>
        <v>170</v>
      </c>
      <c r="R338" s="303"/>
      <c r="S338" s="199">
        <f t="shared" si="193"/>
        <v>-170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53"/>
        <v>PiècesPapeterie</v>
      </c>
      <c r="B339" s="24" t="s">
        <v>175</v>
      </c>
      <c r="C339" s="305" t="s">
        <v>129</v>
      </c>
      <c r="D339" s="301"/>
      <c r="E339" s="178"/>
      <c r="F339" s="179">
        <f>+INDEX('Budget original'!$A$2:$AO$496,MATCH($A339,'Budget original'!$A$2:$A$496,0),MATCH(F$2,'Budget original'!$A$2:$AO$2,0))</f>
        <v>545</v>
      </c>
      <c r="G339" s="302"/>
      <c r="H339" s="178"/>
      <c r="I339" s="179">
        <f>+INDEX('Budget révisé'!$A$2:$AO$496,MATCH($A339,'Budget révisé'!$A$2:$A$496,0),MATCH(I$2,'Budget révisé'!$A$2:$AO$2,0))</f>
        <v>545</v>
      </c>
      <c r="J339" s="303"/>
      <c r="K339" s="178"/>
      <c r="L339" s="554">
        <f>SUMIFS(BV_Data_An_Cour!$O:$O,BV_Data_An_Cour!$U:$U,$B339,BV_Data_An_Cour!$V:$V,$C339,BV_Data_An_Cour!$W:$W,$L$2)</f>
        <v>364.56</v>
      </c>
      <c r="M339" s="303"/>
      <c r="N339" s="304">
        <f t="shared" si="197"/>
        <v>-180.44</v>
      </c>
      <c r="O339" s="303"/>
      <c r="P339" s="178"/>
      <c r="Q339" s="554">
        <f>SUMIFS(BV_Data_An_Prec!$O:$O,BV_Data_An_Prec!$U:$U,$B339,BV_Data_An_Prec!$V:$V,$C339,BV_Data_An_Prec!$W:$W,$L$2)</f>
        <v>462.5</v>
      </c>
      <c r="R339" s="303"/>
      <c r="S339" s="199">
        <f t="shared" si="193"/>
        <v>-97.94</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53"/>
        <v>PiècesTéléphone</v>
      </c>
      <c r="B340" s="24" t="s">
        <v>175</v>
      </c>
      <c r="C340" s="305" t="s">
        <v>130</v>
      </c>
      <c r="D340" s="301"/>
      <c r="E340" s="178"/>
      <c r="F340" s="179">
        <f>+INDEX('Budget original'!$A$2:$AO$496,MATCH($A340,'Budget original'!$A$2:$A$496,0),MATCH(F$2,'Budget original'!$A$2:$AO$2,0))</f>
        <v>452.27499999999998</v>
      </c>
      <c r="G340" s="302"/>
      <c r="H340" s="178"/>
      <c r="I340" s="179">
        <f>+INDEX('Budget révisé'!$A$2:$AO$496,MATCH($A340,'Budget révisé'!$A$2:$A$496,0),MATCH(I$2,'Budget révisé'!$A$2:$AO$2,0))</f>
        <v>452.27499999999998</v>
      </c>
      <c r="J340" s="303"/>
      <c r="K340" s="178"/>
      <c r="L340" s="180">
        <f>SUMIFS(BV_Data_An_Cour!$O:$O,BV_Data_An_Cour!$U:$U,$B340,BV_Data_An_Cour!$V:$V,$C340,BV_Data_An_Cour!$W:$W,$L$2)</f>
        <v>69.69</v>
      </c>
      <c r="M340" s="303"/>
      <c r="N340" s="304">
        <f t="shared" si="197"/>
        <v>-382.58499999999998</v>
      </c>
      <c r="O340" s="303"/>
      <c r="P340" s="178"/>
      <c r="Q340" s="180">
        <f>SUMIFS(BV_Data_An_Prec!$O:$O,BV_Data_An_Prec!$U:$U,$B340,BV_Data_An_Prec!$V:$V,$C340,BV_Data_An_Prec!$W:$W,$L$2)</f>
        <v>350.97</v>
      </c>
      <c r="R340" s="303"/>
      <c r="S340" s="199">
        <f t="shared" si="193"/>
        <v>-281.28000000000003</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53"/>
        <v>PiècesFrais postaux</v>
      </c>
      <c r="B341" s="24" t="s">
        <v>175</v>
      </c>
      <c r="C341" s="305" t="s">
        <v>131</v>
      </c>
      <c r="D341" s="301"/>
      <c r="E341" s="178"/>
      <c r="F341" s="179">
        <f>+INDEX('Budget original'!$A$2:$AO$496,MATCH($A341,'Budget original'!$A$2:$A$496,0),MATCH(F$2,'Budget original'!$A$2:$AO$2,0))</f>
        <v>216.25</v>
      </c>
      <c r="G341" s="302"/>
      <c r="H341" s="178"/>
      <c r="I341" s="179">
        <f>+INDEX('Budget révisé'!$A$2:$AO$496,MATCH($A341,'Budget révisé'!$A$2:$A$496,0),MATCH(I$2,'Budget révisé'!$A$2:$AO$2,0))</f>
        <v>216.25</v>
      </c>
      <c r="J341" s="303"/>
      <c r="K341" s="178"/>
      <c r="L341" s="281">
        <f>SUMIFS(BV_Data_An_Cour!$O:$O,BV_Data_An_Cour!$U:$U,$B341,BV_Data_An_Cour!$V:$V,$C341,BV_Data_An_Cour!$W:$W,$L$2)</f>
        <v>87.25</v>
      </c>
      <c r="M341" s="303"/>
      <c r="N341" s="304">
        <f t="shared" si="197"/>
        <v>-129</v>
      </c>
      <c r="O341" s="303"/>
      <c r="P341" s="178"/>
      <c r="Q341" s="180">
        <f>SUMIFS(BV_Data_An_Prec!$O:$O,BV_Data_An_Prec!$U:$U,$B341,BV_Data_An_Prec!$V:$V,$C341,BV_Data_An_Prec!$W:$W,$L$2)</f>
        <v>126.47</v>
      </c>
      <c r="R341" s="303"/>
      <c r="S341" s="199">
        <f t="shared" si="193"/>
        <v>-39.22</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53"/>
        <v>PiècesDivers</v>
      </c>
      <c r="B342" s="24" t="s">
        <v>175</v>
      </c>
      <c r="C342" s="305" t="s">
        <v>132</v>
      </c>
      <c r="D342" s="301"/>
      <c r="E342" s="178"/>
      <c r="F342" s="179">
        <f>+INDEX('Budget original'!$A$2:$AO$496,MATCH($A342,'Budget original'!$A$2:$A$496,0),MATCH(F$2,'Budget original'!$A$2:$AO$2,0))</f>
        <v>897.75</v>
      </c>
      <c r="G342" s="302"/>
      <c r="H342" s="178"/>
      <c r="I342" s="179">
        <f>+INDEX('Budget révisé'!$A$2:$AO$496,MATCH($A342,'Budget révisé'!$A$2:$A$496,0),MATCH(I$2,'Budget révisé'!$A$2:$AO$2,0))</f>
        <v>897.75</v>
      </c>
      <c r="J342" s="303"/>
      <c r="K342" s="178"/>
      <c r="L342" s="281">
        <f>SUMIFS(BV_Data_An_Cour!$O:$O,BV_Data_An_Cour!$U:$U,$B342,BV_Data_An_Cour!$V:$V,$C342,BV_Data_An_Cour!$W:$W,$L$2)</f>
        <v>627.91999999999996</v>
      </c>
      <c r="M342" s="303"/>
      <c r="N342" s="304">
        <f t="shared" si="197"/>
        <v>-269.83000000000004</v>
      </c>
      <c r="O342" s="303"/>
      <c r="P342" s="178"/>
      <c r="Q342" s="180">
        <f>SUMIFS(BV_Data_An_Prec!$O:$O,BV_Data_An_Prec!$U:$U,$B342,BV_Data_An_Prec!$V:$V,$C342,BV_Data_An_Prec!$W:$W,$L$2)</f>
        <v>1275</v>
      </c>
      <c r="R342" s="303"/>
      <c r="S342" s="199">
        <f t="shared" si="193"/>
        <v>-647.08000000000004</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tr">
        <f t="shared" ref="A343:A346" si="201">+B343&amp;C343</f>
        <v>PiècesFormation</v>
      </c>
      <c r="B343" s="24" t="s">
        <v>175</v>
      </c>
      <c r="C343" s="305" t="s">
        <v>133</v>
      </c>
      <c r="D343" s="301"/>
      <c r="E343" s="178"/>
      <c r="F343" s="179">
        <f>+INDEX('Budget original'!$A$2:$AO$496,MATCH($A343,'Budget original'!$A$2:$A$496,0),MATCH(F$2,'Budget original'!$A$2:$AO$2,0))</f>
        <v>247.14583333333334</v>
      </c>
      <c r="G343" s="302"/>
      <c r="H343" s="178"/>
      <c r="I343" s="179">
        <f>+INDEX('Budget révisé'!$A$2:$AO$496,MATCH($A343,'Budget révisé'!$A$2:$A$496,0),MATCH(I$2,'Budget révisé'!$A$2:$AO$2,0))</f>
        <v>247.14583333333334</v>
      </c>
      <c r="J343" s="303"/>
      <c r="K343" s="178"/>
      <c r="L343" s="281">
        <f>SUMIFS(BV_Data_An_Cour!$O:$O,BV_Data_An_Cour!$U:$U,$B343,BV_Data_An_Cour!$V:$V,$C343,BV_Data_An_Cour!$W:$W,$L$2)</f>
        <v>22.14</v>
      </c>
      <c r="M343" s="303"/>
      <c r="N343" s="304">
        <f t="shared" ref="N343:N347" si="202">L343-I343</f>
        <v>-225.00583333333333</v>
      </c>
      <c r="O343" s="303"/>
      <c r="P343" s="178"/>
      <c r="Q343" s="180">
        <f>SUMIFS(BV_Data_An_Prec!$O:$O,BV_Data_An_Prec!$U:$U,$B343,BV_Data_An_Prec!$V:$V,$C343,BV_Data_An_Prec!$W:$W,$L$2)</f>
        <v>325</v>
      </c>
      <c r="R343" s="303"/>
      <c r="S343" s="199">
        <f t="shared" ref="S343:S347" si="203">L343-Q343</f>
        <v>-302.86</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tr">
        <f t="shared" si="201"/>
        <v>PiècesFrais bancaires</v>
      </c>
      <c r="B344" s="24" t="s">
        <v>175</v>
      </c>
      <c r="C344" s="305" t="s">
        <v>134</v>
      </c>
      <c r="D344" s="301"/>
      <c r="E344" s="178"/>
      <c r="F344" s="179">
        <f>+INDEX('Budget original'!$A$2:$AO$496,MATCH($A344,'Budget original'!$A$2:$A$496,0),MATCH(F$2,'Budget original'!$A$2:$AO$2,0))</f>
        <v>1787.0140289781664</v>
      </c>
      <c r="G344" s="302"/>
      <c r="H344" s="178"/>
      <c r="I344" s="179">
        <f>+INDEX('Budget révisé'!$A$2:$AO$496,MATCH($A344,'Budget révisé'!$A$2:$A$496,0),MATCH(I$2,'Budget révisé'!$A$2:$AO$2,0))</f>
        <v>1787.0140289781664</v>
      </c>
      <c r="J344" s="303"/>
      <c r="K344" s="178"/>
      <c r="L344" s="984">
        <f>AF447*W7</f>
        <v>1408.0160000000001</v>
      </c>
      <c r="M344" s="303"/>
      <c r="N344" s="304">
        <f t="shared" si="202"/>
        <v>-378.9980289781663</v>
      </c>
      <c r="O344" s="303"/>
      <c r="P344" s="178"/>
      <c r="Q344" s="281">
        <f>AL447*W7</f>
        <v>1334.3760000000002</v>
      </c>
      <c r="R344" s="303"/>
      <c r="S344" s="199">
        <f t="shared" si="203"/>
        <v>73.639999999999873</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tr">
        <f t="shared" si="201"/>
        <v>Pièces[...]</v>
      </c>
      <c r="B345" s="24" t="s">
        <v>175</v>
      </c>
      <c r="C345" s="305" t="s">
        <v>42</v>
      </c>
      <c r="D345" s="301"/>
      <c r="E345" s="178"/>
      <c r="F345" s="179">
        <f>+INDEX('Budget original'!$A$2:$AO$496,MATCH($A345,'Budget original'!$A$2:$A$496,0),MATCH(F$2,'Budget original'!$A$2:$AO$2,0))</f>
        <v>0</v>
      </c>
      <c r="G345" s="302"/>
      <c r="H345" s="178"/>
      <c r="I345" s="179">
        <f>+INDEX('Budget révisé'!$A$2:$AO$496,MATCH($A345,'Budget révisé'!$A$2:$A$496,0),MATCH(I$2,'Budget révisé'!$A$2:$AO$2,0))</f>
        <v>0</v>
      </c>
      <c r="J345" s="303"/>
      <c r="K345" s="178"/>
      <c r="L345" s="281">
        <f>SUMIFS(BV_Data_An_Cour!$O:$O,BV_Data_An_Cour!$U:$U,$B345,BV_Data_An_Cour!$V:$V,$C345,BV_Data_An_Cour!$W:$W,$L$2)</f>
        <v>0</v>
      </c>
      <c r="M345" s="303"/>
      <c r="N345" s="304">
        <f t="shared" si="202"/>
        <v>0</v>
      </c>
      <c r="O345" s="303"/>
      <c r="P345" s="178"/>
      <c r="Q345" s="180">
        <f>SUMIFS(BV_Data_An_Prec!$O:$O,BV_Data_An_Prec!$U:$U,$B345,BV_Data_An_Prec!$V:$V,$C345,BV_Data_An_Prec!$W:$W,$L$2)</f>
        <v>0</v>
      </c>
      <c r="R345" s="303"/>
      <c r="S345" s="199">
        <f t="shared" si="203"/>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201"/>
        <v>Pièces[...]</v>
      </c>
      <c r="B346" s="24" t="s">
        <v>175</v>
      </c>
      <c r="C346" s="305" t="s">
        <v>42</v>
      </c>
      <c r="D346" s="301"/>
      <c r="E346" s="178"/>
      <c r="F346" s="179">
        <f>+INDEX('Budget original'!$A$2:$AO$496,MATCH($A346,'Budget original'!$A$2:$A$496,0),MATCH(F$2,'Budget original'!$A$2:$AO$2,0))</f>
        <v>0</v>
      </c>
      <c r="G346" s="302"/>
      <c r="H346" s="178"/>
      <c r="I346" s="179">
        <f>+INDEX('Budget révisé'!$A$2:$AO$496,MATCH($A346,'Budget révisé'!$A$2:$A$496,0),MATCH(I$2,'Budget révisé'!$A$2:$AO$2,0))</f>
        <v>0</v>
      </c>
      <c r="J346" s="303"/>
      <c r="K346" s="178"/>
      <c r="L346" s="180">
        <f>SUMIFS(BV_Data_An_Cour!$O:$O,BV_Data_An_Cour!$U:$U,$B346,BV_Data_An_Cour!$V:$V,$C346,BV_Data_An_Cour!$W:$W,$L$2)</f>
        <v>0</v>
      </c>
      <c r="M346" s="303"/>
      <c r="N346" s="304">
        <f t="shared" si="202"/>
        <v>0</v>
      </c>
      <c r="O346" s="303"/>
      <c r="P346" s="178"/>
      <c r="Q346" s="180">
        <f>SUMIFS(BV_Data_An_Prec!$O:$O,BV_Data_An_Prec!$U:$U,$B346,BV_Data_An_Prec!$V:$V,$C346,BV_Data_An_Prec!$W:$W,$L$2)</f>
        <v>0</v>
      </c>
      <c r="R346" s="303"/>
      <c r="S346" s="199">
        <f t="shared" si="203"/>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204">+B347&amp;C347</f>
        <v>Pièces[...]</v>
      </c>
      <c r="B347" s="24" t="s">
        <v>175</v>
      </c>
      <c r="C347" s="305" t="s">
        <v>42</v>
      </c>
      <c r="D347" s="301"/>
      <c r="E347" s="178"/>
      <c r="F347" s="179">
        <f>+INDEX('Budget original'!$A$2:$AO$496,MATCH($A347,'Budget original'!$A$2:$A$496,0),MATCH(F$2,'Budget original'!$A$2:$AO$2,0))</f>
        <v>0</v>
      </c>
      <c r="G347" s="302"/>
      <c r="H347" s="178"/>
      <c r="I347" s="179">
        <f>+INDEX('Budget révisé'!$A$2:$AO$496,MATCH($A347,'Budget révisé'!$A$2:$A$496,0),MATCH(I$2,'Budget révisé'!$A$2:$AO$2,0))</f>
        <v>0</v>
      </c>
      <c r="J347" s="303"/>
      <c r="K347" s="178"/>
      <c r="L347" s="180">
        <f>SUMIFS(BV_Data_An_Cour!$O:$O,BV_Data_An_Cour!$U:$U,$B347,BV_Data_An_Cour!$V:$V,$C347,BV_Data_An_Cour!$W:$W,$L$2)</f>
        <v>0</v>
      </c>
      <c r="M347" s="303"/>
      <c r="N347" s="304">
        <f t="shared" si="202"/>
        <v>0</v>
      </c>
      <c r="O347" s="303"/>
      <c r="P347" s="178"/>
      <c r="Q347" s="180">
        <f>SUMIFS(BV_Data_An_Prec!$O:$O,BV_Data_An_Prec!$U:$U,$B347,BV_Data_An_Prec!$V:$V,$C347,BV_Data_An_Prec!$W:$W,$L$2)</f>
        <v>0</v>
      </c>
      <c r="R347" s="303"/>
      <c r="S347" s="199">
        <f t="shared" si="203"/>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0.20804734755124901</v>
      </c>
      <c r="F348" s="41">
        <f>+SUM(F330:F347)</f>
        <v>23350.043698616646</v>
      </c>
      <c r="G348" s="42" t="s">
        <v>111</v>
      </c>
      <c r="H348" s="40">
        <f>I348/I$313</f>
        <v>0.20804734755124901</v>
      </c>
      <c r="I348" s="41">
        <f>+SUM(I330:I347)</f>
        <v>23350.043698616646</v>
      </c>
      <c r="J348" s="42" t="s">
        <v>111</v>
      </c>
      <c r="K348" s="40">
        <f>L348/L$313</f>
        <v>0.1840801847385454</v>
      </c>
      <c r="L348" s="41">
        <f>+SUM(L330:L347)</f>
        <v>17076.526000000002</v>
      </c>
      <c r="M348" s="44"/>
      <c r="N348" s="41">
        <f>+SUM(N330:N347)</f>
        <v>-6273.5176986166443</v>
      </c>
      <c r="O348" s="42" t="s">
        <v>111</v>
      </c>
      <c r="P348" s="40">
        <f>Q348/Q$313</f>
        <v>0.23655039778172748</v>
      </c>
      <c r="Q348" s="41">
        <f>+SUM(Q330:Q347)</f>
        <v>27312.776000000002</v>
      </c>
      <c r="R348" s="44"/>
      <c r="S348" s="316">
        <f>+SUM(S330:S347)</f>
        <v>-10236.250000000002</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0.57186777884756002</v>
      </c>
      <c r="F350" s="41">
        <f>F329+F348</f>
        <v>64183.166875665374</v>
      </c>
      <c r="G350" s="42" t="s">
        <v>111</v>
      </c>
      <c r="H350" s="40">
        <f>I350/I$313</f>
        <v>0.57186777884756002</v>
      </c>
      <c r="I350" s="41">
        <f>I329+I348</f>
        <v>64183.166875665374</v>
      </c>
      <c r="J350" s="42" t="s">
        <v>111</v>
      </c>
      <c r="K350" s="40">
        <f>L350/L$313</f>
        <v>0.56704044271020293</v>
      </c>
      <c r="L350" s="41">
        <f>L329+L348</f>
        <v>52602.516000000003</v>
      </c>
      <c r="M350" s="44"/>
      <c r="N350" s="46">
        <f t="shared" ref="N350:N352" si="205">L350-I350</f>
        <v>-11580.650875665371</v>
      </c>
      <c r="O350" s="42" t="s">
        <v>111</v>
      </c>
      <c r="P350" s="40">
        <f>Q350/Q$313</f>
        <v>0.58565896796908301</v>
      </c>
      <c r="Q350" s="41">
        <f>Q329+Q348</f>
        <v>67621.835999999996</v>
      </c>
      <c r="R350" s="44"/>
      <c r="S350" s="299">
        <f>L350-Q350</f>
        <v>-15019.319999999992</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205"/>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24" customHeight="1" thickBot="1">
      <c r="B352" s="2"/>
      <c r="C352" s="340" t="s">
        <v>143</v>
      </c>
      <c r="D352" s="341"/>
      <c r="E352" s="342"/>
      <c r="F352" s="343">
        <f>F313-F350</f>
        <v>48051.110434045338</v>
      </c>
      <c r="G352" s="344"/>
      <c r="H352" s="342"/>
      <c r="I352" s="343">
        <f>I313-I350</f>
        <v>48051.110434045338</v>
      </c>
      <c r="J352" s="345"/>
      <c r="K352" s="346"/>
      <c r="L352" s="343">
        <f>L313-L350</f>
        <v>40164.26400000001</v>
      </c>
      <c r="M352" s="345"/>
      <c r="N352" s="343">
        <f t="shared" si="205"/>
        <v>-7886.8464340453284</v>
      </c>
      <c r="O352" s="345"/>
      <c r="P352" s="346"/>
      <c r="Q352" s="343">
        <f>Q313-Q350</f>
        <v>47840.984000000011</v>
      </c>
      <c r="R352" s="345"/>
      <c r="S352" s="347">
        <f>L352-Q352</f>
        <v>-7676.7200000000012</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Juillet 2021</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161" t="s">
        <v>77</v>
      </c>
      <c r="E357" s="1162"/>
      <c r="F357" s="1163"/>
      <c r="G357" s="1164" t="s">
        <v>145</v>
      </c>
      <c r="H357" s="1162"/>
      <c r="I357" s="1163"/>
      <c r="J357" s="1164" t="s">
        <v>79</v>
      </c>
      <c r="K357" s="1162"/>
      <c r="L357" s="1163"/>
      <c r="M357" s="1164" t="s">
        <v>80</v>
      </c>
      <c r="N357" s="1163"/>
      <c r="O357" s="1161" t="s">
        <v>81</v>
      </c>
      <c r="P357" s="1162"/>
      <c r="Q357" s="1163"/>
      <c r="R357" s="1164" t="s">
        <v>82</v>
      </c>
      <c r="S357" s="1165"/>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206">+B358&amp;C358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206"/>
        <v>BoutiqueBoutique</v>
      </c>
      <c r="B359" s="24" t="s">
        <v>191</v>
      </c>
      <c r="C359" s="269" t="s">
        <v>191</v>
      </c>
      <c r="D359" s="203">
        <f>+INDEX('Budget original'!$A$2:$AO$496,MATCH($A359,'Budget original'!$A$2:$A$496,0),MATCH(D$2,'Budget original'!$A$2:$AO$2,0))</f>
        <v>0</v>
      </c>
      <c r="E359" s="204">
        <f>IFERROR(F359/D359,0)</f>
        <v>0</v>
      </c>
      <c r="F359" s="208">
        <f>+INDEX('Budget original'!$A$2:$AO$496,MATCH($A359,'Budget original'!$A$2:$A$496,0),MATCH(F$2,'Budget original'!$A$2:$AO$2,0))</f>
        <v>0</v>
      </c>
      <c r="G359" s="203">
        <f>+INDEX('Budget révisé'!$A$2:$AO$496,MATCH($A359,'Budget révisé'!$A$2:$A$496,0),MATCH(G$2,'Budget révisé'!$A$2:$AO$2,0))</f>
        <v>0</v>
      </c>
      <c r="H359" s="204">
        <f>IFERROR(I359/G359,0)</f>
        <v>0</v>
      </c>
      <c r="I359" s="203">
        <f>+INDEX('Budget révisé'!$A$2:$AO$496,MATCH($A359,'Budget révisé'!$A$2:$A$496,0),MATCH(I$2,'Budget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206"/>
        <v>Boutique</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206"/>
        <v>BoutiqueTotal Dépt. Boutique</v>
      </c>
      <c r="B361" s="24" t="s">
        <v>191</v>
      </c>
      <c r="C361" s="273" t="s">
        <v>192</v>
      </c>
      <c r="D361" s="246">
        <f>+D359</f>
        <v>0</v>
      </c>
      <c r="E361" s="237">
        <f>IF(D361&lt;=0,0,F361/D361)</f>
        <v>0</v>
      </c>
      <c r="F361" s="238">
        <f t="shared" ref="F361" si="207">+F359</f>
        <v>0</v>
      </c>
      <c r="G361" s="236">
        <f>+G359</f>
        <v>0</v>
      </c>
      <c r="H361" s="237">
        <f>IF(G361&lt;=0,0,I361/G361)</f>
        <v>0</v>
      </c>
      <c r="I361" s="238">
        <f t="shared" ref="I361" si="208">+I359</f>
        <v>0</v>
      </c>
      <c r="J361" s="236">
        <f t="shared" ref="J361" si="209">+J359</f>
        <v>0</v>
      </c>
      <c r="K361" s="237">
        <f>IF(J361&lt;=0,0,L361/J361)</f>
        <v>0</v>
      </c>
      <c r="L361" s="238">
        <f>+L359</f>
        <v>0</v>
      </c>
      <c r="M361" s="624">
        <f>IF(G361=0,0,(+J361-G361)/G361)</f>
        <v>0</v>
      </c>
      <c r="N361" s="625">
        <f>L361-I361</f>
        <v>0</v>
      </c>
      <c r="O361" s="236">
        <f t="shared" ref="O361" si="210">+O359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206"/>
        <v>Boutique</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206"/>
        <v>BoutiqueDEPENSES</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206"/>
        <v>BoutiqueSalaires cadres</v>
      </c>
      <c r="B364" s="24" t="s">
        <v>191</v>
      </c>
      <c r="C364" s="280" t="s">
        <v>112</v>
      </c>
      <c r="D364" s="233"/>
      <c r="E364" s="233"/>
      <c r="F364" s="231">
        <f>+INDEX('Budget original'!$A$2:$AO$496,MATCH($A364,'Budget original'!$A$2:$A$496,0),MATCH(F$2,'Budget original'!$A$2:$AO$2,0))</f>
        <v>0</v>
      </c>
      <c r="G364" s="227"/>
      <c r="H364" s="233"/>
      <c r="I364" s="231">
        <f>+INDEX('Budget révisé'!$A$2:$AO$496,MATCH($A364,'Budget révisé'!$A$2:$A$496,0),MATCH(I$2,'Budget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206"/>
        <v>BoutiqueSalaires commis</v>
      </c>
      <c r="B365" s="24" t="s">
        <v>191</v>
      </c>
      <c r="C365" s="282" t="s">
        <v>113</v>
      </c>
      <c r="D365" s="262"/>
      <c r="E365" s="233"/>
      <c r="F365" s="244">
        <f>+INDEX('Budget original'!$A$2:$AO$496,MATCH($A365,'Budget original'!$A$2:$A$496,0),MATCH(F$2,'Budget original'!$A$2:$AO$2,0))</f>
        <v>0</v>
      </c>
      <c r="G365" s="283"/>
      <c r="H365" s="233"/>
      <c r="I365" s="244">
        <f>+INDEX('Budget révisé'!$A$2:$AO$496,MATCH($A365,'Budget révisé'!$A$2:$A$496,0),MATCH(I$2,'Budget révisé'!$A$2:$AO$2,0))</f>
        <v>0</v>
      </c>
      <c r="J365" s="227"/>
      <c r="K365" s="233"/>
      <c r="L365" s="244">
        <f>-SUMIFS(BV_Data_An_Cour!$O:$O,BV_Data_An_Cour!$U:$U,$B365,BV_Data_An_Cour!$V:$V,$C365,BV_Data_An_Cour!$W:$W,$L$2)</f>
        <v>0</v>
      </c>
      <c r="M365" s="227"/>
      <c r="N365" s="232">
        <f t="shared" ref="N365:N393" si="211">L365-I365</f>
        <v>0</v>
      </c>
      <c r="O365" s="227"/>
      <c r="P365" s="233"/>
      <c r="Q365" s="244">
        <f>-SUMIFS(BV_Data_An_Prec!$O:$O,BV_Data_An_Prec!$U:$U,$B365,BV_Data_An_Prec!$V:$V,$C365,BV_Data_An_Prec!$W:$W,$L$2)</f>
        <v>0</v>
      </c>
      <c r="R365" s="227"/>
      <c r="S365" s="284">
        <f t="shared" ref="S365:S393" si="212">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206"/>
        <v>BoutiqueSalaires autres</v>
      </c>
      <c r="B366" s="24" t="s">
        <v>191</v>
      </c>
      <c r="C366" s="280" t="s">
        <v>114</v>
      </c>
      <c r="D366" s="285"/>
      <c r="E366" s="286"/>
      <c r="F366" s="231">
        <f>+INDEX('Budget original'!$A$2:$AO$496,MATCH($A366,'Budget original'!$A$2:$A$496,0),MATCH(F$2,'Budget original'!$A$2:$AO$2,0))</f>
        <v>0</v>
      </c>
      <c r="G366" s="287"/>
      <c r="H366" s="286"/>
      <c r="I366" s="231">
        <f>+INDEX('Budget révisé'!$A$2:$AO$496,MATCH($A366,'Budget révisé'!$A$2:$A$496,0),MATCH(I$2,'Budget révisé'!$A$2:$AO$2,0))</f>
        <v>0</v>
      </c>
      <c r="J366" s="288"/>
      <c r="K366" s="286"/>
      <c r="L366" s="281">
        <f>-SUMIFS(BV_Data_An_Cour!$O:$O,BV_Data_An_Cour!$U:$U,$B366,BV_Data_An_Cour!$V:$V,$C366,BV_Data_An_Cour!$W:$W,$L$2)</f>
        <v>0</v>
      </c>
      <c r="M366" s="288"/>
      <c r="N366" s="289">
        <f t="shared" si="211"/>
        <v>0</v>
      </c>
      <c r="O366" s="288"/>
      <c r="P366" s="286"/>
      <c r="Q366" s="281">
        <f>-SUMIFS(BV_Data_An_Prec!$O:$O,BV_Data_An_Prec!$U:$U,$B366,BV_Data_An_Prec!$V:$V,$C366,BV_Data_An_Prec!$W:$W,$L$2)</f>
        <v>0</v>
      </c>
      <c r="R366" s="288"/>
      <c r="S366" s="290">
        <f t="shared" si="212"/>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206"/>
        <v>BoutiqueSalaires spécialistes</v>
      </c>
      <c r="B367" s="24" t="s">
        <v>191</v>
      </c>
      <c r="C367" s="280" t="s">
        <v>115</v>
      </c>
      <c r="D367" s="262"/>
      <c r="E367" s="233"/>
      <c r="F367" s="231">
        <f>+INDEX('Budget original'!$A$2:$AO$496,MATCH($A367,'Budget original'!$A$2:$A$496,0),MATCH(F$2,'Budget original'!$A$2:$AO$2,0))</f>
        <v>0</v>
      </c>
      <c r="G367" s="283"/>
      <c r="H367" s="233"/>
      <c r="I367" s="231">
        <f>+INDEX('Budget révisé'!$A$2:$AO$496,MATCH($A367,'Budget révisé'!$A$2:$A$496,0),MATCH(I$2,'Budget révisé'!$A$2:$AO$2,0))</f>
        <v>0</v>
      </c>
      <c r="J367" s="227"/>
      <c r="K367" s="233"/>
      <c r="L367" s="281">
        <f>-SUMIFS(BV_Data_An_Cour!$O:$O,BV_Data_An_Cour!$U:$U,$B367,BV_Data_An_Cour!$V:$V,$C367,BV_Data_An_Cour!$W:$W,$L$2)</f>
        <v>0</v>
      </c>
      <c r="M367" s="227"/>
      <c r="N367" s="232">
        <f t="shared" si="211"/>
        <v>0</v>
      </c>
      <c r="O367" s="227"/>
      <c r="P367" s="233"/>
      <c r="Q367" s="281">
        <f>-SUMIFS(BV_Data_An_Prec!$O:$O,BV_Data_An_Prec!$U:$U,$B367,BV_Data_An_Prec!$V:$V,$C367,BV_Data_An_Prec!$W:$W,$L$2)</f>
        <v>0</v>
      </c>
      <c r="R367" s="227"/>
      <c r="S367" s="284">
        <f t="shared" si="212"/>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tr">
        <f t="shared" si="206"/>
        <v>Boutique[...]</v>
      </c>
      <c r="B368" s="24" t="s">
        <v>191</v>
      </c>
      <c r="C368" s="291" t="s">
        <v>42</v>
      </c>
      <c r="D368" s="262"/>
      <c r="E368" s="233"/>
      <c r="F368" s="231">
        <f>+INDEX('Budget original'!$A$2:$AO$496,MATCH($A368,'Budget original'!$A$2:$A$496,0),MATCH(F$2,'Budget original'!$A$2:$AO$2,0))</f>
        <v>0</v>
      </c>
      <c r="G368" s="283"/>
      <c r="H368" s="233"/>
      <c r="I368" s="231">
        <f>+INDEX('Budget révisé'!$A$2:$AO$496,MATCH($A368,'Budget révisé'!$A$2:$A$496,0),MATCH(I$2,'Budget révisé'!$A$2:$AO$2,0))</f>
        <v>0</v>
      </c>
      <c r="J368" s="227"/>
      <c r="K368" s="233"/>
      <c r="L368" s="281">
        <f>-SUMIFS(BV_Data_An_Cour!$O:$O,BV_Data_An_Cour!$U:$U,$B368,BV_Data_An_Cour!$V:$V,$C368,BV_Data_An_Cour!$W:$W,$L$2)</f>
        <v>0</v>
      </c>
      <c r="M368" s="227"/>
      <c r="N368" s="232">
        <f t="shared" si="211"/>
        <v>0</v>
      </c>
      <c r="O368" s="227"/>
      <c r="P368" s="233"/>
      <c r="Q368" s="281">
        <f>-SUMIFS(BV_Data_An_Prec!$O:$O,BV_Data_An_Prec!$U:$U,$B368,BV_Data_An_Prec!$V:$V,$C368,BV_Data_An_Prec!$W:$W,$L$2)</f>
        <v>0</v>
      </c>
      <c r="R368" s="227"/>
      <c r="S368" s="284">
        <f t="shared" si="212"/>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tr">
        <f t="shared" si="206"/>
        <v>Boutique[...]</v>
      </c>
      <c r="B369" s="24" t="s">
        <v>191</v>
      </c>
      <c r="C369" s="291" t="s">
        <v>42</v>
      </c>
      <c r="D369" s="262"/>
      <c r="E369" s="233"/>
      <c r="F369" s="231">
        <f>+INDEX('Budget original'!$A$2:$AO$496,MATCH($A369,'Budget original'!$A$2:$A$496,0),MATCH(F$2,'Budget original'!$A$2:$AO$2,0))</f>
        <v>0</v>
      </c>
      <c r="G369" s="283"/>
      <c r="H369" s="233"/>
      <c r="I369" s="231">
        <f>+INDEX('Budget révisé'!$A$2:$AO$496,MATCH($A369,'Budget révisé'!$A$2:$A$496,0),MATCH(I$2,'Budget révisé'!$A$2:$AO$2,0))</f>
        <v>0</v>
      </c>
      <c r="J369" s="227"/>
      <c r="K369" s="233"/>
      <c r="L369" s="281">
        <f>-SUMIFS(BV_Data_An_Cour!$O:$O,BV_Data_An_Cour!$U:$U,$B369,BV_Data_An_Cour!$V:$V,$C369,BV_Data_An_Cour!$W:$W,$L$2)</f>
        <v>0</v>
      </c>
      <c r="M369" s="227"/>
      <c r="N369" s="232">
        <f t="shared" si="211"/>
        <v>0</v>
      </c>
      <c r="O369" s="227"/>
      <c r="P369" s="233"/>
      <c r="Q369" s="281">
        <f>-SUMIFS(BV_Data_An_Prec!$O:$O,BV_Data_An_Prec!$U:$U,$B369,BV_Data_An_Prec!$V:$V,$C369,BV_Data_An_Prec!$W:$W,$L$2)</f>
        <v>0</v>
      </c>
      <c r="R369" s="227"/>
      <c r="S369" s="284">
        <f t="shared" si="212"/>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tr">
        <f t="shared" si="206"/>
        <v>Boutique[...]</v>
      </c>
      <c r="B370" s="24" t="s">
        <v>191</v>
      </c>
      <c r="C370" s="291" t="s">
        <v>42</v>
      </c>
      <c r="D370" s="262"/>
      <c r="E370" s="233"/>
      <c r="F370" s="231">
        <f>+INDEX('Budget original'!$A$2:$AO$496,MATCH($A370,'Budget original'!$A$2:$A$496,0),MATCH(F$2,'Budget original'!$A$2:$AO$2,0))</f>
        <v>0</v>
      </c>
      <c r="G370" s="283"/>
      <c r="H370" s="233"/>
      <c r="I370" s="231">
        <f>+INDEX('Budget révisé'!$A$2:$AO$496,MATCH($A370,'Budget révisé'!$A$2:$A$496,0),MATCH(I$2,'Budget révisé'!$A$2:$AO$2,0))</f>
        <v>0</v>
      </c>
      <c r="J370" s="227"/>
      <c r="K370" s="233"/>
      <c r="L370" s="281">
        <f>-SUMIFS(BV_Data_An_Cour!$O:$O,BV_Data_An_Cour!$U:$U,$B370,BV_Data_An_Cour!$V:$V,$C370,BV_Data_An_Cour!$W:$W,$L$2)</f>
        <v>0</v>
      </c>
      <c r="M370" s="227"/>
      <c r="N370" s="232">
        <f t="shared" si="211"/>
        <v>0</v>
      </c>
      <c r="O370" s="227"/>
      <c r="P370" s="233"/>
      <c r="Q370" s="281">
        <f>-SUMIFS(BV_Data_An_Prec!$O:$O,BV_Data_An_Prec!$U:$U,$B370,BV_Data_An_Prec!$V:$V,$C370,BV_Data_An_Prec!$W:$W,$L$2)</f>
        <v>0</v>
      </c>
      <c r="R370" s="227"/>
      <c r="S370" s="284">
        <f t="shared" si="212"/>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206"/>
        <v>BoutiqueSalaires en absences</v>
      </c>
      <c r="B371" s="24" t="s">
        <v>191</v>
      </c>
      <c r="C371" s="282" t="s">
        <v>116</v>
      </c>
      <c r="D371" s="262"/>
      <c r="E371" s="233"/>
      <c r="F371" s="244">
        <f>+INDEX('Budget original'!$A$2:$AO$496,MATCH($A371,'Budget original'!$A$2:$A$496,0),MATCH(F$2,'Budget original'!$A$2:$AO$2,0))</f>
        <v>0</v>
      </c>
      <c r="G371" s="283"/>
      <c r="H371" s="233"/>
      <c r="I371" s="244">
        <f>+INDEX('Budget révisé'!$A$2:$AO$496,MATCH($A371,'Budget révisé'!$A$2:$A$496,0),MATCH(I$2,'Budget révisé'!$A$2:$AO$2,0))</f>
        <v>0</v>
      </c>
      <c r="J371" s="227"/>
      <c r="K371" s="233"/>
      <c r="L371" s="244">
        <f>-SUMIFS(BV_Data_An_Cour!$O:$O,BV_Data_An_Cour!$U:$U,$B371,BV_Data_An_Cour!$V:$V,$C371,BV_Data_An_Cour!$W:$W,$L$2)</f>
        <v>0</v>
      </c>
      <c r="M371" s="227"/>
      <c r="N371" s="232">
        <f t="shared" si="211"/>
        <v>0</v>
      </c>
      <c r="O371" s="227"/>
      <c r="P371" s="233"/>
      <c r="Q371" s="244">
        <f>-SUMIFS(BV_Data_An_Prec!$O:$O,BV_Data_An_Prec!$U:$U,$B371,BV_Data_An_Prec!$V:$V,$C371,BV_Data_An_Prec!$W:$W,$L$2)</f>
        <v>0</v>
      </c>
      <c r="R371" s="227"/>
      <c r="S371" s="284">
        <f t="shared" si="212"/>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206"/>
        <v>BoutiqueDéduction à la source</v>
      </c>
      <c r="B372" s="24" t="s">
        <v>191</v>
      </c>
      <c r="C372" s="280" t="s">
        <v>117</v>
      </c>
      <c r="D372" s="285"/>
      <c r="E372" s="286"/>
      <c r="F372" s="231">
        <f>+INDEX('Budget original'!$A$2:$AO$496,MATCH($A372,'Budget original'!$A$2:$A$496,0),MATCH(F$2,'Budget original'!$A$2:$AO$2,0))</f>
        <v>0</v>
      </c>
      <c r="G372" s="287"/>
      <c r="H372" s="286"/>
      <c r="I372" s="231">
        <f>+INDEX('Budget révisé'!$A$2:$AO$496,MATCH($A372,'Budget révisé'!$A$2:$A$496,0),MATCH(I$2,'Budget révisé'!$A$2:$AO$2,0))</f>
        <v>0</v>
      </c>
      <c r="J372" s="288"/>
      <c r="K372" s="286"/>
      <c r="L372" s="281">
        <f>-SUMIFS(BV_Data_An_Cour!$O:$O,BV_Data_An_Cour!$U:$U,$B372,BV_Data_An_Cour!$V:$V,$C372,BV_Data_An_Cour!$W:$W,$L$2)</f>
        <v>0</v>
      </c>
      <c r="M372" s="288"/>
      <c r="N372" s="289">
        <f t="shared" si="211"/>
        <v>0</v>
      </c>
      <c r="O372" s="288"/>
      <c r="P372" s="286"/>
      <c r="Q372" s="281">
        <f>-SUMIFS(BV_Data_An_Prec!$O:$O,BV_Data_An_Prec!$U:$U,$B372,BV_Data_An_Prec!$V:$V,$C372,BV_Data_An_Prec!$W:$W,$L$2)</f>
        <v>0</v>
      </c>
      <c r="R372" s="288"/>
      <c r="S372" s="290">
        <f t="shared" si="212"/>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206"/>
        <v>BoutiqueBénéfices marginaux</v>
      </c>
      <c r="B373" s="24" t="s">
        <v>191</v>
      </c>
      <c r="C373" s="280" t="s">
        <v>118</v>
      </c>
      <c r="D373" s="262"/>
      <c r="E373" s="233"/>
      <c r="F373" s="231">
        <f>+INDEX('Budget original'!$A$2:$AO$496,MATCH($A373,'Budget original'!$A$2:$A$496,0),MATCH(F$2,'Budget original'!$A$2:$AO$2,0))</f>
        <v>0</v>
      </c>
      <c r="G373" s="283"/>
      <c r="H373" s="233"/>
      <c r="I373" s="231">
        <f>+INDEX('Budget révisé'!$A$2:$AO$496,MATCH($A373,'Budget révisé'!$A$2:$A$496,0),MATCH(I$2,'Budget révisé'!$A$2:$AO$2,0))</f>
        <v>0</v>
      </c>
      <c r="J373" s="227"/>
      <c r="K373" s="233"/>
      <c r="L373" s="281">
        <f>-SUMIFS(BV_Data_An_Cour!$O:$O,BV_Data_An_Cour!$U:$U,$B373,BV_Data_An_Cour!$V:$V,$C373,BV_Data_An_Cour!$W:$W,$L$2)</f>
        <v>0</v>
      </c>
      <c r="M373" s="227"/>
      <c r="N373" s="232">
        <f t="shared" si="211"/>
        <v>0</v>
      </c>
      <c r="O373" s="227"/>
      <c r="P373" s="233"/>
      <c r="Q373" s="281">
        <f>-SUMIFS(BV_Data_An_Prec!$O:$O,BV_Data_An_Prec!$U:$U,$B373,BV_Data_An_Prec!$V:$V,$C373,BV_Data_An_Prec!$W:$W,$L$2)</f>
        <v>0</v>
      </c>
      <c r="R373" s="227"/>
      <c r="S373" s="284">
        <f t="shared" si="212"/>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206"/>
        <v>BoutiqueCsst</v>
      </c>
      <c r="B374" s="24" t="s">
        <v>191</v>
      </c>
      <c r="C374" s="280" t="s">
        <v>119</v>
      </c>
      <c r="D374" s="262"/>
      <c r="E374" s="233"/>
      <c r="F374" s="231">
        <f>+INDEX('Budget original'!$A$2:$AO$496,MATCH($A374,'Budget original'!$A$2:$A$496,0),MATCH(F$2,'Budget original'!$A$2:$AO$2,0))</f>
        <v>0</v>
      </c>
      <c r="G374" s="283"/>
      <c r="H374" s="233"/>
      <c r="I374" s="231">
        <f>+INDEX('Budget révisé'!$A$2:$AO$496,MATCH($A374,'Budget révisé'!$A$2:$A$496,0),MATCH(I$2,'Budget révisé'!$A$2:$AO$2,0))</f>
        <v>0</v>
      </c>
      <c r="J374" s="227"/>
      <c r="K374" s="233"/>
      <c r="L374" s="281">
        <f>-SUMIFS(BV_Data_An_Cour!$O:$O,BV_Data_An_Cour!$U:$U,$B374,BV_Data_An_Cour!$V:$V,$C374,BV_Data_An_Cour!$W:$W,$L$2)</f>
        <v>0</v>
      </c>
      <c r="M374" s="227"/>
      <c r="N374" s="232">
        <f t="shared" si="211"/>
        <v>0</v>
      </c>
      <c r="O374" s="227"/>
      <c r="P374" s="233"/>
      <c r="Q374" s="281">
        <f>-SUMIFS(BV_Data_An_Prec!$O:$O,BV_Data_An_Prec!$U:$U,$B374,BV_Data_An_Prec!$V:$V,$C374,BV_Data_An_Prec!$W:$W,$L$2)</f>
        <v>0</v>
      </c>
      <c r="R374" s="227"/>
      <c r="S374" s="284">
        <f t="shared" si="212"/>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tr">
        <f t="shared" si="206"/>
        <v>Boutique[...]</v>
      </c>
      <c r="B375" s="24" t="s">
        <v>191</v>
      </c>
      <c r="C375" s="291" t="s">
        <v>42</v>
      </c>
      <c r="D375" s="292"/>
      <c r="E375" s="293"/>
      <c r="F375" s="231">
        <f>+INDEX('Budget original'!$A$2:$AO$496,MATCH($A375,'Budget original'!$A$2:$A$496,0),MATCH(F$2,'Budget original'!$A$2:$AO$2,0))</f>
        <v>0</v>
      </c>
      <c r="G375" s="294"/>
      <c r="H375" s="293"/>
      <c r="I375" s="231">
        <f>+INDEX('Budget révisé'!$A$2:$AO$496,MATCH($A375,'Budget révisé'!$A$2:$A$496,0),MATCH(I$2,'Budget révisé'!$A$2:$AO$2,0))</f>
        <v>0</v>
      </c>
      <c r="J375" s="295"/>
      <c r="K375" s="293"/>
      <c r="L375" s="281">
        <f>-SUMIFS(BV_Data_An_Cour!$O:$O,BV_Data_An_Cour!$U:$U,$B375,BV_Data_An_Cour!$V:$V,$C375,BV_Data_An_Cour!$W:$W,$L$2)</f>
        <v>0</v>
      </c>
      <c r="M375" s="295"/>
      <c r="N375" s="296">
        <f t="shared" si="211"/>
        <v>0</v>
      </c>
      <c r="O375" s="295"/>
      <c r="P375" s="293"/>
      <c r="Q375" s="281">
        <f>-SUMIFS(BV_Data_An_Prec!$O:$O,BV_Data_An_Prec!$U:$U,$B375,BV_Data_An_Prec!$V:$V,$C375,BV_Data_An_Prec!$W:$W,$L$2)</f>
        <v>0</v>
      </c>
      <c r="R375" s="295"/>
      <c r="S375" s="297">
        <f t="shared" si="212"/>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206"/>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211"/>
        <v>0</v>
      </c>
      <c r="O376" s="42" t="s">
        <v>111</v>
      </c>
      <c r="P376" s="40">
        <f>IFERROR(Q376/Q$359,0)</f>
        <v>0</v>
      </c>
      <c r="Q376" s="41">
        <f>+SUM(Q364:Q375)</f>
        <v>0</v>
      </c>
      <c r="R376" s="43"/>
      <c r="S376" s="299">
        <f t="shared" si="212"/>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206"/>
        <v>BoutiquePublicité 2</v>
      </c>
      <c r="B377" s="24" t="s">
        <v>191</v>
      </c>
      <c r="C377" s="300" t="s">
        <v>121</v>
      </c>
      <c r="D377" s="301"/>
      <c r="E377" s="178"/>
      <c r="F377" s="179">
        <f>+INDEX('Budget original'!$A$2:$AO$496,MATCH($A377,'Budget original'!$A$2:$A$496,0),MATCH(F$2,'Budget original'!$A$2:$AO$2,0))</f>
        <v>0</v>
      </c>
      <c r="G377" s="302"/>
      <c r="H377" s="178"/>
      <c r="I377" s="179">
        <f>+INDEX('Budget révisé'!$A$2:$AO$496,MATCH($A377,'Budget révisé'!$A$2:$A$496,0),MATCH(I$2,'Budget révisé'!$A$2:$AO$2,0))</f>
        <v>0</v>
      </c>
      <c r="J377" s="303"/>
      <c r="K377" s="178"/>
      <c r="L377" s="180">
        <f>-SUMIFS(BV_Data_An_Cour!$O:$O,BV_Data_An_Cour!$U:$U,$B377,BV_Data_An_Cour!$V:$V,$C377,BV_Data_An_Cour!$W:$W,$L$2)</f>
        <v>0</v>
      </c>
      <c r="M377" s="303"/>
      <c r="N377" s="304">
        <f t="shared" si="211"/>
        <v>0</v>
      </c>
      <c r="O377" s="303"/>
      <c r="P377" s="178"/>
      <c r="Q377" s="180">
        <f>-SUMIFS(BV_Data_An_Prec!$O:$O,BV_Data_An_Prec!$U:$U,$B377,BV_Data_An_Prec!$V:$V,$C377,BV_Data_An_Prec!$W:$W,$L$2)</f>
        <v>0</v>
      </c>
      <c r="R377" s="303"/>
      <c r="S377" s="199">
        <f t="shared" si="212"/>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206"/>
        <v>BoutiqueService gratuit 2</v>
      </c>
      <c r="B378" s="24" t="s">
        <v>191</v>
      </c>
      <c r="C378" s="305" t="s">
        <v>122</v>
      </c>
      <c r="D378" s="301"/>
      <c r="E378" s="178"/>
      <c r="F378" s="179">
        <f>+INDEX('Budget original'!$A$2:$AO$496,MATCH($A378,'Budget original'!$A$2:$A$496,0),MATCH(F$2,'Budget original'!$A$2:$AO$2,0))</f>
        <v>0</v>
      </c>
      <c r="G378" s="302"/>
      <c r="H378" s="178"/>
      <c r="I378" s="179">
        <f>+INDEX('Budget révisé'!$A$2:$AO$496,MATCH($A378,'Budget révisé'!$A$2:$A$496,0),MATCH(I$2,'Budget révisé'!$A$2:$AO$2,0))</f>
        <v>0</v>
      </c>
      <c r="J378" s="303"/>
      <c r="K378" s="178"/>
      <c r="L378" s="180">
        <f>-SUMIFS(BV_Data_An_Cour!$O:$O,BV_Data_An_Cour!$U:$U,$B378,BV_Data_An_Cour!$V:$V,$C378,BV_Data_An_Cour!$W:$W,$L$2)</f>
        <v>0</v>
      </c>
      <c r="M378" s="303"/>
      <c r="N378" s="304">
        <f t="shared" si="211"/>
        <v>0</v>
      </c>
      <c r="O378" s="303"/>
      <c r="P378" s="178"/>
      <c r="Q378" s="180">
        <f>-SUMIFS(BV_Data_An_Prec!$O:$O,BV_Data_An_Prec!$U:$U,$B378,BV_Data_An_Prec!$V:$V,$C378,BV_Data_An_Prec!$W:$W,$L$2)</f>
        <v>0</v>
      </c>
      <c r="R378" s="303"/>
      <c r="S378" s="199">
        <f t="shared" si="212"/>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206"/>
        <v>BoutiqueFrais véhicules de cie</v>
      </c>
      <c r="B379" s="24" t="s">
        <v>191</v>
      </c>
      <c r="C379" s="306" t="s">
        <v>123</v>
      </c>
      <c r="D379" s="307"/>
      <c r="E379" s="308"/>
      <c r="F379" s="177">
        <f>+INDEX('Budget original'!$A$2:$AO$496,MATCH($A379,'Budget original'!$A$2:$A$496,0),MATCH(F$2,'Budget original'!$A$2:$AO$2,0))</f>
        <v>0</v>
      </c>
      <c r="G379" s="309"/>
      <c r="H379" s="308"/>
      <c r="I379" s="177">
        <f>+INDEX('Budget révisé'!$A$2:$AO$496,MATCH($A379,'Budget révisé'!$A$2:$A$496,0),MATCH(I$2,'Budget révisé'!$A$2:$AO$2,0))</f>
        <v>0</v>
      </c>
      <c r="J379" s="310"/>
      <c r="K379" s="308"/>
      <c r="L379" s="177">
        <f>-SUMIFS(BV_Data_An_Cour!$O:$O,BV_Data_An_Cour!$U:$U,$B379,BV_Data_An_Cour!$V:$V,$C379,BV_Data_An_Cour!$W:$W,$L$2)</f>
        <v>0</v>
      </c>
      <c r="M379" s="310"/>
      <c r="N379" s="311">
        <f t="shared" si="211"/>
        <v>0</v>
      </c>
      <c r="O379" s="310"/>
      <c r="P379" s="308"/>
      <c r="Q379" s="177">
        <f>-SUMIFS(BV_Data_An_Prec!$O:$O,BV_Data_An_Prec!$U:$U,$B379,BV_Data_An_Prec!$V:$V,$C379,BV_Data_An_Prec!$W:$W,$L$2)</f>
        <v>0</v>
      </c>
      <c r="R379" s="310"/>
      <c r="S379" s="202">
        <f t="shared" si="212"/>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206"/>
        <v>BoutiqueInformatique</v>
      </c>
      <c r="B380" s="24" t="s">
        <v>191</v>
      </c>
      <c r="C380" s="305" t="s">
        <v>124</v>
      </c>
      <c r="D380" s="301"/>
      <c r="E380" s="178"/>
      <c r="F380" s="179">
        <f>+INDEX('Budget original'!$A$2:$AO$496,MATCH($A380,'Budget original'!$A$2:$A$496,0),MATCH(F$2,'Budget original'!$A$2:$AO$2,0))</f>
        <v>0</v>
      </c>
      <c r="G380" s="302"/>
      <c r="H380" s="178"/>
      <c r="I380" s="179">
        <f>+INDEX('Budget révisé'!$A$2:$AO$496,MATCH($A380,'Budget révisé'!$A$2:$A$496,0),MATCH(I$2,'Budget révisé'!$A$2:$AO$2,0))</f>
        <v>0</v>
      </c>
      <c r="J380" s="303"/>
      <c r="K380" s="178"/>
      <c r="L380" s="180">
        <f>-SUMIFS(BV_Data_An_Cour!$O:$O,BV_Data_An_Cour!$U:$U,$B380,BV_Data_An_Cour!$V:$V,$C380,BV_Data_An_Cour!$W:$W,$L$2)</f>
        <v>0</v>
      </c>
      <c r="M380" s="303"/>
      <c r="N380" s="304">
        <f t="shared" si="211"/>
        <v>0</v>
      </c>
      <c r="O380" s="303"/>
      <c r="P380" s="178"/>
      <c r="Q380" s="180">
        <f>-SUMIFS(BV_Data_An_Prec!$O:$O,BV_Data_An_Prec!$U:$U,$B380,BV_Data_An_Prec!$V:$V,$C380,BV_Data_An_Prec!$W:$W,$L$2)</f>
        <v>0</v>
      </c>
      <c r="R380" s="303"/>
      <c r="S380" s="199">
        <f t="shared" si="212"/>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206"/>
        <v>BoutiqueFrais de déplacement</v>
      </c>
      <c r="B381" s="24" t="s">
        <v>191</v>
      </c>
      <c r="C381" s="305" t="s">
        <v>125</v>
      </c>
      <c r="D381" s="301"/>
      <c r="E381" s="178"/>
      <c r="F381" s="179">
        <f>+INDEX('Budget original'!$A$2:$AO$496,MATCH($A381,'Budget original'!$A$2:$A$496,0),MATCH(F$2,'Budget original'!$A$2:$AO$2,0))</f>
        <v>0</v>
      </c>
      <c r="G381" s="302"/>
      <c r="H381" s="178"/>
      <c r="I381" s="179">
        <f>+INDEX('Budget révisé'!$A$2:$AO$496,MATCH($A381,'Budget révisé'!$A$2:$A$496,0),MATCH(I$2,'Budget révisé'!$A$2:$AO$2,0))</f>
        <v>0</v>
      </c>
      <c r="J381" s="303"/>
      <c r="K381" s="178"/>
      <c r="L381" s="180">
        <f>-SUMIFS(BV_Data_An_Cour!$O:$O,BV_Data_An_Cour!$U:$U,$B381,BV_Data_An_Cour!$V:$V,$C381,BV_Data_An_Cour!$W:$W,$L$2)</f>
        <v>0</v>
      </c>
      <c r="M381" s="303"/>
      <c r="N381" s="304">
        <f t="shared" si="211"/>
        <v>0</v>
      </c>
      <c r="O381" s="303"/>
      <c r="P381" s="178"/>
      <c r="Q381" s="180">
        <f>-SUMIFS(BV_Data_An_Prec!$O:$O,BV_Data_An_Prec!$U:$U,$B381,BV_Data_An_Prec!$V:$V,$C381,BV_Data_An_Prec!$W:$W,$L$2)</f>
        <v>0</v>
      </c>
      <c r="R381" s="303"/>
      <c r="S381" s="199">
        <f t="shared" si="212"/>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206"/>
        <v>BoutiqueServices extérieurs</v>
      </c>
      <c r="B382" s="24" t="s">
        <v>191</v>
      </c>
      <c r="C382" s="305" t="s">
        <v>126</v>
      </c>
      <c r="D382" s="307"/>
      <c r="E382" s="308"/>
      <c r="F382" s="177">
        <f>+INDEX('Budget original'!$A$2:$AO$496,MATCH($A382,'Budget original'!$A$2:$A$496,0),MATCH(F$2,'Budget original'!$A$2:$AO$2,0))</f>
        <v>0</v>
      </c>
      <c r="G382" s="309"/>
      <c r="H382" s="308"/>
      <c r="I382" s="177">
        <f>+INDEX('Budget révisé'!$A$2:$AO$496,MATCH($A382,'Budget révisé'!$A$2:$A$496,0),MATCH(I$2,'Budget révisé'!$A$2:$AO$2,0))</f>
        <v>0</v>
      </c>
      <c r="J382" s="310"/>
      <c r="K382" s="308"/>
      <c r="L382" s="177">
        <f>-SUMIFS(BV_Data_An_Cour!$O:$O,BV_Data_An_Cour!$U:$U,$B382,BV_Data_An_Cour!$V:$V,$C382,BV_Data_An_Cour!$W:$W,$L$2)</f>
        <v>0</v>
      </c>
      <c r="M382" s="310"/>
      <c r="N382" s="311">
        <f t="shared" si="211"/>
        <v>0</v>
      </c>
      <c r="O382" s="310"/>
      <c r="P382" s="308"/>
      <c r="Q382" s="177">
        <f>-SUMIFS(BV_Data_An_Prec!$O:$O,BV_Data_An_Prec!$U:$U,$B382,BV_Data_An_Prec!$V:$V,$C382,BV_Data_An_Prec!$W:$W,$L$2)</f>
        <v>0</v>
      </c>
      <c r="R382" s="310"/>
      <c r="S382" s="202">
        <f t="shared" si="212"/>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206"/>
        <v>BoutiqueFournitures autres</v>
      </c>
      <c r="B383" s="24" t="s">
        <v>191</v>
      </c>
      <c r="C383" s="300" t="s">
        <v>127</v>
      </c>
      <c r="D383" s="301"/>
      <c r="E383" s="178"/>
      <c r="F383" s="179">
        <f>+INDEX('Budget original'!$A$2:$AO$496,MATCH($A383,'Budget original'!$A$2:$A$496,0),MATCH(F$2,'Budget original'!$A$2:$AO$2,0))</f>
        <v>0</v>
      </c>
      <c r="G383" s="302"/>
      <c r="H383" s="178"/>
      <c r="I383" s="179">
        <f>+INDEX('Budget révisé'!$A$2:$AO$496,MATCH($A383,'Budget révisé'!$A$2:$A$496,0),MATCH(I$2,'Budget révisé'!$A$2:$AO$2,0))</f>
        <v>0</v>
      </c>
      <c r="J383" s="303"/>
      <c r="K383" s="178"/>
      <c r="L383" s="180">
        <f>-SUMIFS(BV_Data_An_Cour!$O:$O,BV_Data_An_Cour!$U:$U,$B383,BV_Data_An_Cour!$V:$V,$C383,BV_Data_An_Cour!$W:$W,$L$2)</f>
        <v>0</v>
      </c>
      <c r="M383" s="303"/>
      <c r="N383" s="304">
        <f t="shared" si="211"/>
        <v>0</v>
      </c>
      <c r="O383" s="303"/>
      <c r="P383" s="178"/>
      <c r="Q383" s="180">
        <f>-SUMIFS(BV_Data_An_Prec!$O:$O,BV_Data_An_Prec!$U:$U,$B383,BV_Data_An_Prec!$V:$V,$C383,BV_Data_An_Prec!$W:$W,$L$2)</f>
        <v>0</v>
      </c>
      <c r="R383" s="303"/>
      <c r="S383" s="199">
        <f t="shared" si="212"/>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206"/>
        <v>BoutiqueUniformes</v>
      </c>
      <c r="B384" s="24" t="s">
        <v>191</v>
      </c>
      <c r="C384" s="305" t="s">
        <v>128</v>
      </c>
      <c r="D384" s="301"/>
      <c r="E384" s="178"/>
      <c r="F384" s="179">
        <f>+INDEX('Budget original'!$A$2:$AO$496,MATCH($A384,'Budget original'!$A$2:$A$496,0),MATCH(F$2,'Budget original'!$A$2:$AO$2,0))</f>
        <v>0</v>
      </c>
      <c r="G384" s="302"/>
      <c r="H384" s="178"/>
      <c r="I384" s="179">
        <f>+INDEX('Budget révisé'!$A$2:$AO$496,MATCH($A384,'Budget révisé'!$A$2:$A$496,0),MATCH(I$2,'Budget révisé'!$A$2:$AO$2,0))</f>
        <v>0</v>
      </c>
      <c r="J384" s="303"/>
      <c r="K384" s="178"/>
      <c r="L384" s="180">
        <f>-SUMIFS(BV_Data_An_Cour!$O:$O,BV_Data_An_Cour!$U:$U,$B384,BV_Data_An_Cour!$V:$V,$C384,BV_Data_An_Cour!$W:$W,$L$2)</f>
        <v>0</v>
      </c>
      <c r="M384" s="303"/>
      <c r="N384" s="304">
        <f t="shared" si="211"/>
        <v>0</v>
      </c>
      <c r="O384" s="303"/>
      <c r="P384" s="178"/>
      <c r="Q384" s="180">
        <f>-SUMIFS(BV_Data_An_Prec!$O:$O,BV_Data_An_Prec!$U:$U,$B384,BV_Data_An_Prec!$V:$V,$C384,BV_Data_An_Prec!$W:$W,$L$2)</f>
        <v>0</v>
      </c>
      <c r="R384" s="303"/>
      <c r="S384" s="199">
        <f t="shared" si="212"/>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206"/>
        <v>BoutiquePapeterie</v>
      </c>
      <c r="B385" s="24" t="s">
        <v>191</v>
      </c>
      <c r="C385" s="305" t="s">
        <v>129</v>
      </c>
      <c r="D385" s="301"/>
      <c r="E385" s="178"/>
      <c r="F385" s="179">
        <f>+INDEX('Budget original'!$A$2:$AO$496,MATCH($A385,'Budget original'!$A$2:$A$496,0),MATCH(F$2,'Budget original'!$A$2:$AO$2,0))</f>
        <v>0</v>
      </c>
      <c r="G385" s="302"/>
      <c r="H385" s="178"/>
      <c r="I385" s="179">
        <f>+INDEX('Budget révisé'!$A$2:$AO$496,MATCH($A385,'Budget révisé'!$A$2:$A$496,0),MATCH(I$2,'Budget révisé'!$A$2:$AO$2,0))</f>
        <v>0</v>
      </c>
      <c r="J385" s="303"/>
      <c r="K385" s="178"/>
      <c r="L385" s="180">
        <f>-SUMIFS(BV_Data_An_Cour!$O:$O,BV_Data_An_Cour!$U:$U,$B385,BV_Data_An_Cour!$V:$V,$C385,BV_Data_An_Cour!$W:$W,$L$2)</f>
        <v>0</v>
      </c>
      <c r="M385" s="303"/>
      <c r="N385" s="304">
        <f t="shared" si="211"/>
        <v>0</v>
      </c>
      <c r="O385" s="303"/>
      <c r="P385" s="178"/>
      <c r="Q385" s="180">
        <f>-SUMIFS(BV_Data_An_Prec!$O:$O,BV_Data_An_Prec!$U:$U,$B385,BV_Data_An_Prec!$V:$V,$C385,BV_Data_An_Prec!$W:$W,$L$2)</f>
        <v>0</v>
      </c>
      <c r="R385" s="303"/>
      <c r="S385" s="199">
        <f t="shared" si="212"/>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206"/>
        <v>BoutiqueTéléphone</v>
      </c>
      <c r="B386" s="24" t="s">
        <v>191</v>
      </c>
      <c r="C386" s="305" t="s">
        <v>130</v>
      </c>
      <c r="D386" s="301"/>
      <c r="E386" s="178"/>
      <c r="F386" s="179">
        <f>+INDEX('Budget original'!$A$2:$AO$496,MATCH($A386,'Budget original'!$A$2:$A$496,0),MATCH(F$2,'Budget original'!$A$2:$AO$2,0))</f>
        <v>0</v>
      </c>
      <c r="G386" s="302"/>
      <c r="H386" s="178"/>
      <c r="I386" s="179">
        <f>+INDEX('Budget révisé'!$A$2:$AO$496,MATCH($A386,'Budget révisé'!$A$2:$A$496,0),MATCH(I$2,'Budget révisé'!$A$2:$AO$2,0))</f>
        <v>0</v>
      </c>
      <c r="J386" s="303"/>
      <c r="K386" s="178"/>
      <c r="L386" s="180">
        <f>-SUMIFS(BV_Data_An_Cour!$O:$O,BV_Data_An_Cour!$U:$U,$B386,BV_Data_An_Cour!$V:$V,$C386,BV_Data_An_Cour!$W:$W,$L$2)</f>
        <v>0</v>
      </c>
      <c r="M386" s="303"/>
      <c r="N386" s="304">
        <f t="shared" si="211"/>
        <v>0</v>
      </c>
      <c r="O386" s="303"/>
      <c r="P386" s="178"/>
      <c r="Q386" s="180">
        <f>-SUMIFS(BV_Data_An_Prec!$O:$O,BV_Data_An_Prec!$U:$U,$B386,BV_Data_An_Prec!$V:$V,$C386,BV_Data_An_Prec!$W:$W,$L$2)</f>
        <v>0</v>
      </c>
      <c r="R386" s="303"/>
      <c r="S386" s="199">
        <f t="shared" si="212"/>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206"/>
        <v>BoutiqueFrais postaux</v>
      </c>
      <c r="B387" s="24" t="s">
        <v>191</v>
      </c>
      <c r="C387" s="305" t="s">
        <v>131</v>
      </c>
      <c r="D387" s="301"/>
      <c r="E387" s="178"/>
      <c r="F387" s="179">
        <f>+INDEX('Budget original'!$A$2:$AO$496,MATCH($A387,'Budget original'!$A$2:$A$496,0),MATCH(F$2,'Budget original'!$A$2:$AO$2,0))</f>
        <v>0</v>
      </c>
      <c r="G387" s="302"/>
      <c r="H387" s="178"/>
      <c r="I387" s="179">
        <f>+INDEX('Budget révisé'!$A$2:$AO$496,MATCH($A387,'Budget révisé'!$A$2:$A$496,0),MATCH(I$2,'Budget révisé'!$A$2:$AO$2,0))</f>
        <v>0</v>
      </c>
      <c r="J387" s="303"/>
      <c r="K387" s="178"/>
      <c r="L387" s="180">
        <f>-SUMIFS(BV_Data_An_Cour!$O:$O,BV_Data_An_Cour!$U:$U,$B387,BV_Data_An_Cour!$V:$V,$C387,BV_Data_An_Cour!$W:$W,$L$2)</f>
        <v>0</v>
      </c>
      <c r="M387" s="303"/>
      <c r="N387" s="304">
        <f t="shared" si="211"/>
        <v>0</v>
      </c>
      <c r="O387" s="303"/>
      <c r="P387" s="178"/>
      <c r="Q387" s="180">
        <f>-SUMIFS(BV_Data_An_Prec!$O:$O,BV_Data_An_Prec!$U:$U,$B387,BV_Data_An_Prec!$V:$V,$C387,BV_Data_An_Prec!$W:$W,$L$2)</f>
        <v>0</v>
      </c>
      <c r="R387" s="303"/>
      <c r="S387" s="199">
        <f t="shared" si="212"/>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206"/>
        <v>BoutiqueDivers</v>
      </c>
      <c r="B388" s="24" t="s">
        <v>191</v>
      </c>
      <c r="C388" s="305" t="s">
        <v>132</v>
      </c>
      <c r="D388" s="301"/>
      <c r="E388" s="178"/>
      <c r="F388" s="179">
        <f>+INDEX('Budget original'!$A$2:$AO$496,MATCH($A388,'Budget original'!$A$2:$A$496,0),MATCH(F$2,'Budget original'!$A$2:$AO$2,0))</f>
        <v>0</v>
      </c>
      <c r="G388" s="302"/>
      <c r="H388" s="178"/>
      <c r="I388" s="179">
        <f>+INDEX('Budget révisé'!$A$2:$AO$496,MATCH($A388,'Budget révisé'!$A$2:$A$496,0),MATCH(I$2,'Budget révisé'!$A$2:$AO$2,0))</f>
        <v>0</v>
      </c>
      <c r="J388" s="303"/>
      <c r="K388" s="178"/>
      <c r="L388" s="180">
        <f>-SUMIFS(BV_Data_An_Cour!$O:$O,BV_Data_An_Cour!$U:$U,$B388,BV_Data_An_Cour!$V:$V,$C388,BV_Data_An_Cour!$W:$W,$L$2)</f>
        <v>0</v>
      </c>
      <c r="M388" s="303"/>
      <c r="N388" s="304">
        <f t="shared" si="211"/>
        <v>0</v>
      </c>
      <c r="O388" s="303"/>
      <c r="P388" s="178"/>
      <c r="Q388" s="180">
        <f>-SUMIFS(BV_Data_An_Prec!$O:$O,BV_Data_An_Prec!$U:$U,$B388,BV_Data_An_Prec!$V:$V,$C388,BV_Data_An_Prec!$W:$W,$L$2)</f>
        <v>0</v>
      </c>
      <c r="R388" s="303"/>
      <c r="S388" s="199">
        <f t="shared" si="212"/>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206"/>
        <v>BoutiqueFormation</v>
      </c>
      <c r="B389" s="24" t="s">
        <v>191</v>
      </c>
      <c r="C389" s="305" t="s">
        <v>133</v>
      </c>
      <c r="D389" s="301"/>
      <c r="E389" s="178"/>
      <c r="F389" s="179">
        <f>+INDEX('Budget original'!$A$2:$AO$496,MATCH($A389,'Budget original'!$A$2:$A$496,0),MATCH(F$2,'Budget original'!$A$2:$AO$2,0))</f>
        <v>0</v>
      </c>
      <c r="G389" s="302"/>
      <c r="H389" s="178"/>
      <c r="I389" s="179">
        <f>+INDEX('Budget révisé'!$A$2:$AO$496,MATCH($A389,'Budget révisé'!$A$2:$A$496,0),MATCH(I$2,'Budget révisé'!$A$2:$AO$2,0))</f>
        <v>0</v>
      </c>
      <c r="J389" s="303"/>
      <c r="K389" s="178"/>
      <c r="L389" s="180">
        <f>-SUMIFS(BV_Data_An_Cour!$O:$O,BV_Data_An_Cour!$U:$U,$B389,BV_Data_An_Cour!$V:$V,$C389,BV_Data_An_Cour!$W:$W,$L$2)</f>
        <v>0</v>
      </c>
      <c r="M389" s="303"/>
      <c r="N389" s="304">
        <f t="shared" si="211"/>
        <v>0</v>
      </c>
      <c r="O389" s="303"/>
      <c r="P389" s="178"/>
      <c r="Q389" s="180">
        <f>-SUMIFS(BV_Data_An_Prec!$O:$O,BV_Data_An_Prec!$U:$U,$B389,BV_Data_An_Prec!$V:$V,$C389,BV_Data_An_Prec!$W:$W,$L$2)</f>
        <v>0</v>
      </c>
      <c r="R389" s="303"/>
      <c r="S389" s="199">
        <f t="shared" si="212"/>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206"/>
        <v>BoutiqueFrais bancaires</v>
      </c>
      <c r="B390" s="24" t="s">
        <v>191</v>
      </c>
      <c r="C390" s="305" t="s">
        <v>134</v>
      </c>
      <c r="D390" s="301"/>
      <c r="E390" s="178"/>
      <c r="F390" s="179">
        <f>+INDEX('Budget original'!$A$2:$AO$496,MATCH($A390,'Budget original'!$A$2:$A$496,0),MATCH(F$2,'Budget original'!$A$2:$AO$2,0))</f>
        <v>0</v>
      </c>
      <c r="G390" s="302"/>
      <c r="H390" s="178"/>
      <c r="I390" s="179">
        <f>+INDEX('Budget révisé'!$A$2:$AO$496,MATCH($A390,'Budget révisé'!$A$2:$A$496,0),MATCH(I$2,'Budget révisé'!$A$2:$AO$2,0))</f>
        <v>0</v>
      </c>
      <c r="J390" s="303"/>
      <c r="K390" s="178"/>
      <c r="L390" s="180">
        <f>-SUMIFS(BV_Data_An_Cour!$O:$O,BV_Data_An_Cour!$U:$U,$B390,BV_Data_An_Cour!$V:$V,$C390,BV_Data_An_Cour!$W:$W,$L$2)</f>
        <v>0</v>
      </c>
      <c r="M390" s="303"/>
      <c r="N390" s="304">
        <f t="shared" si="211"/>
        <v>0</v>
      </c>
      <c r="O390" s="303"/>
      <c r="P390" s="178"/>
      <c r="Q390" s="180">
        <f>-SUMIFS(BV_Data_An_Prec!$O:$O,BV_Data_An_Prec!$U:$U,$B390,BV_Data_An_Prec!$V:$V,$C390,BV_Data_An_Prec!$W:$W,$L$2)</f>
        <v>0</v>
      </c>
      <c r="R390" s="303"/>
      <c r="S390" s="199">
        <f t="shared" si="212"/>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tr">
        <f t="shared" si="206"/>
        <v>Boutique[...]</v>
      </c>
      <c r="B391" s="24" t="s">
        <v>191</v>
      </c>
      <c r="C391" s="305" t="s">
        <v>42</v>
      </c>
      <c r="D391" s="301"/>
      <c r="E391" s="178"/>
      <c r="F391" s="179">
        <f>+INDEX('Budget original'!$A$2:$AO$496,MATCH($A391,'Budget original'!$A$2:$A$496,0),MATCH(F$2,'Budget original'!$A$2:$AO$2,0))</f>
        <v>0</v>
      </c>
      <c r="G391" s="302"/>
      <c r="H391" s="178"/>
      <c r="I391" s="179">
        <f>+INDEX('Budget révisé'!$A$2:$AO$496,MATCH($A391,'Budget révisé'!$A$2:$A$496,0),MATCH(I$2,'Budget révisé'!$A$2:$AO$2,0))</f>
        <v>0</v>
      </c>
      <c r="J391" s="303"/>
      <c r="K391" s="178"/>
      <c r="L391" s="180">
        <f>-SUMIFS(BV_Data_An_Cour!$O:$O,BV_Data_An_Cour!$U:$U,$B391,BV_Data_An_Cour!$V:$V,$C391,BV_Data_An_Cour!$W:$W,$L$2)</f>
        <v>0</v>
      </c>
      <c r="M391" s="303"/>
      <c r="N391" s="304">
        <f t="shared" si="211"/>
        <v>0</v>
      </c>
      <c r="O391" s="303"/>
      <c r="P391" s="178"/>
      <c r="Q391" s="180">
        <f>-SUMIFS(BV_Data_An_Prec!$O:$O,BV_Data_An_Prec!$U:$U,$B391,BV_Data_An_Prec!$V:$V,$C391,BV_Data_An_Prec!$W:$W,$L$2)</f>
        <v>0</v>
      </c>
      <c r="R391" s="303"/>
      <c r="S391" s="199">
        <f t="shared" si="212"/>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tr">
        <f t="shared" si="206"/>
        <v>Boutique[...]</v>
      </c>
      <c r="B392" s="24" t="s">
        <v>191</v>
      </c>
      <c r="C392" s="305" t="s">
        <v>42</v>
      </c>
      <c r="D392" s="301"/>
      <c r="E392" s="178"/>
      <c r="F392" s="179">
        <f>+INDEX('Budget original'!$A$2:$AO$496,MATCH($A392,'Budget original'!$A$2:$A$496,0),MATCH(F$2,'Budget original'!$A$2:$AO$2,0))</f>
        <v>0</v>
      </c>
      <c r="G392" s="302"/>
      <c r="H392" s="178"/>
      <c r="I392" s="179">
        <f>+INDEX('Budget révisé'!$A$2:$AO$496,MATCH($A392,'Budget révisé'!$A$2:$A$496,0),MATCH(I$2,'Budget révisé'!$A$2:$AO$2,0))</f>
        <v>0</v>
      </c>
      <c r="J392" s="303"/>
      <c r="K392" s="178"/>
      <c r="L392" s="180">
        <f>-SUMIFS(BV_Data_An_Cour!$O:$O,BV_Data_An_Cour!$U:$U,$B392,BV_Data_An_Cour!$V:$V,$C392,BV_Data_An_Cour!$W:$W,$L$2)</f>
        <v>0</v>
      </c>
      <c r="M392" s="303"/>
      <c r="N392" s="304">
        <f t="shared" si="211"/>
        <v>0</v>
      </c>
      <c r="O392" s="303"/>
      <c r="P392" s="178"/>
      <c r="Q392" s="180">
        <f>-SUMIFS(BV_Data_An_Prec!$O:$O,BV_Data_An_Prec!$U:$U,$B392,BV_Data_An_Prec!$V:$V,$C392,BV_Data_An_Prec!$W:$W,$L$2)</f>
        <v>0</v>
      </c>
      <c r="R392" s="303"/>
      <c r="S392" s="199">
        <f t="shared" si="212"/>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tr">
        <f t="shared" si="206"/>
        <v>Boutique[...]</v>
      </c>
      <c r="B393" s="24" t="s">
        <v>191</v>
      </c>
      <c r="C393" s="305" t="s">
        <v>42</v>
      </c>
      <c r="D393" s="307"/>
      <c r="E393" s="308"/>
      <c r="F393" s="179">
        <f>+INDEX('Budget original'!$A$2:$AO$496,MATCH($A393,'Budget original'!$A$2:$A$496,0),MATCH(F$2,'Budget original'!$A$2:$AO$2,0))</f>
        <v>0</v>
      </c>
      <c r="G393" s="309"/>
      <c r="H393" s="308"/>
      <c r="I393" s="179">
        <f>+INDEX('Budget révisé'!$A$2:$AO$496,MATCH($A393,'Budget révisé'!$A$2:$A$496,0),MATCH(I$2,'Budget révisé'!$A$2:$AO$2,0))</f>
        <v>0</v>
      </c>
      <c r="J393" s="310"/>
      <c r="K393" s="308"/>
      <c r="L393" s="180">
        <f>-SUMIFS(BV_Data_An_Cour!$O:$O,BV_Data_An_Cour!$U:$U,$B393,BV_Data_An_Cour!$V:$V,$C393,BV_Data_An_Cour!$W:$W,$L$2)</f>
        <v>0</v>
      </c>
      <c r="M393" s="310"/>
      <c r="N393" s="311">
        <f t="shared" si="211"/>
        <v>0</v>
      </c>
      <c r="O393" s="310"/>
      <c r="P393" s="308"/>
      <c r="Q393" s="180">
        <f>-SUMIFS(BV_Data_An_Prec!$O:$O,BV_Data_An_Prec!$U:$U,$B393,BV_Data_An_Prec!$V:$V,$C393,BV_Data_An_Prec!$W:$W,$L$2)</f>
        <v>0</v>
      </c>
      <c r="R393" s="310"/>
      <c r="S393" s="202">
        <f t="shared" si="212"/>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t="s">
        <v>2924</v>
      </c>
      <c r="M400" s="25"/>
      <c r="N400" s="25"/>
      <c r="O400" s="25"/>
      <c r="P400" s="25"/>
      <c r="Q400" s="25"/>
      <c r="R400" s="23" t="s">
        <v>2925</v>
      </c>
      <c r="S400" s="1098"/>
      <c r="T400" s="23"/>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t="s">
        <v>2926</v>
      </c>
      <c r="M401" s="1099">
        <f>L50</f>
        <v>11115.9</v>
      </c>
      <c r="N401" s="1104">
        <f>I50/($I$50+$I$51+$I$52)</f>
        <v>0.53097345132743357</v>
      </c>
      <c r="O401" s="1099">
        <f>($M$439*$O$405)*N401</f>
        <v>10863.607824490373</v>
      </c>
      <c r="P401" s="23"/>
      <c r="Q401" s="1099">
        <f>O401-M401</f>
        <v>-252.29217550962676</v>
      </c>
      <c r="R401" s="23">
        <v>6132</v>
      </c>
      <c r="S401" s="1101">
        <f>Q401</f>
        <v>-252.29217550962676</v>
      </c>
      <c r="T401" s="23"/>
      <c r="U401" s="23"/>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Juillet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t="s">
        <v>2927</v>
      </c>
      <c r="M402" s="1099">
        <f>L51</f>
        <v>7966.39</v>
      </c>
      <c r="N402" s="1104">
        <f t="shared" ref="N402:N403" si="213">I51/($I$50+$I$51+$I$52)</f>
        <v>0.38053097345132747</v>
      </c>
      <c r="O402" s="1099">
        <f t="shared" ref="O402:O404" si="214">($M$439*$O$405)*N402</f>
        <v>7785.5856075514357</v>
      </c>
      <c r="P402" s="1100"/>
      <c r="Q402" s="1099">
        <f t="shared" ref="Q402:Q403" si="215">O402-M402</f>
        <v>-180.80439244856461</v>
      </c>
      <c r="R402" s="23">
        <v>6139</v>
      </c>
      <c r="S402" s="1101">
        <f>Q402</f>
        <v>-180.80439244856461</v>
      </c>
      <c r="T402" s="23"/>
      <c r="U402" s="23"/>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2"/>
      <c r="C403" s="23"/>
      <c r="D403" s="23"/>
      <c r="E403" s="23"/>
      <c r="F403" s="23"/>
      <c r="G403" s="23"/>
      <c r="H403" s="23"/>
      <c r="I403" s="23"/>
      <c r="J403" s="23"/>
      <c r="K403" s="23"/>
      <c r="L403" s="23" t="s">
        <v>1252</v>
      </c>
      <c r="M403" s="1099">
        <f>L52</f>
        <v>1852.65</v>
      </c>
      <c r="N403" s="1104">
        <f t="shared" si="213"/>
        <v>8.8495575221238951E-2</v>
      </c>
      <c r="O403" s="1099">
        <f t="shared" si="214"/>
        <v>1810.6013040817293</v>
      </c>
      <c r="P403" s="1100"/>
      <c r="Q403" s="1099">
        <f t="shared" si="215"/>
        <v>-42.048695918270823</v>
      </c>
      <c r="R403" s="23">
        <v>6131</v>
      </c>
      <c r="S403" s="1101">
        <f>Q403</f>
        <v>-42.048695918270823</v>
      </c>
      <c r="T403" s="23"/>
      <c r="U403" s="23"/>
      <c r="V403" s="440"/>
      <c r="W403" s="441"/>
      <c r="X403" s="1169" t="s">
        <v>194</v>
      </c>
      <c r="Y403" s="1167"/>
      <c r="Z403" s="1170"/>
      <c r="AA403" s="1166" t="s">
        <v>145</v>
      </c>
      <c r="AB403" s="1167"/>
      <c r="AC403" s="1170"/>
      <c r="AD403" s="1166" t="s">
        <v>79</v>
      </c>
      <c r="AE403" s="1167"/>
      <c r="AF403" s="1170"/>
      <c r="AG403" s="1166" t="s">
        <v>195</v>
      </c>
      <c r="AH403" s="1167"/>
      <c r="AI403" s="1170"/>
      <c r="AJ403" s="1166" t="s">
        <v>196</v>
      </c>
      <c r="AK403" s="1167"/>
      <c r="AL403" s="1167"/>
      <c r="AM403" s="1166" t="s">
        <v>197</v>
      </c>
      <c r="AN403" s="1167"/>
      <c r="AO403" s="1168"/>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216">+U404&amp;V404</f>
        <v/>
      </c>
      <c r="B404" s="2"/>
      <c r="C404" s="23"/>
      <c r="D404" s="23"/>
      <c r="E404" s="23"/>
      <c r="F404" s="23" t="s">
        <v>2928</v>
      </c>
      <c r="G404" s="23"/>
      <c r="H404" s="23"/>
      <c r="I404" s="23"/>
      <c r="J404" s="23"/>
      <c r="L404" s="968"/>
      <c r="M404" s="1102"/>
      <c r="N404" s="1112">
        <f>SUM(N401:N403)</f>
        <v>1</v>
      </c>
      <c r="O404" s="1099">
        <f t="shared" si="214"/>
        <v>20459.794736123538</v>
      </c>
      <c r="P404" s="1100"/>
      <c r="Q404" s="1103">
        <f>SUM(Q401:Q403)</f>
        <v>-475.1452638764622</v>
      </c>
      <c r="R404" s="23"/>
      <c r="S404" s="1101"/>
      <c r="T404" s="23"/>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216"/>
        <v>Ventes nettes</v>
      </c>
      <c r="B405" s="2"/>
      <c r="C405" s="23"/>
      <c r="D405" s="23"/>
      <c r="E405" s="23"/>
      <c r="F405" s="23" t="s">
        <v>2924</v>
      </c>
      <c r="G405" s="23"/>
      <c r="H405" s="23"/>
      <c r="I405" s="1099">
        <f>L31+L32+L42+L43+L44+L45+K405</f>
        <v>91214.63</v>
      </c>
      <c r="J405" s="1129">
        <f t="shared" ref="J405:J410" si="217">I405/$I$410</f>
        <v>0.29474032678939194</v>
      </c>
      <c r="K405">
        <v>3500</v>
      </c>
      <c r="L405" s="23" t="s">
        <v>1949</v>
      </c>
      <c r="M405" s="1099">
        <f>SUM(M401:M403)</f>
        <v>20934.940000000002</v>
      </c>
      <c r="N405" s="1104">
        <f>M405/$M$439</f>
        <v>0.30158518873222073</v>
      </c>
      <c r="O405" s="1104">
        <f>J405</f>
        <v>0.29474032678939194</v>
      </c>
      <c r="P405" s="1100">
        <f>O405*$M$439</f>
        <v>20459.794736123538</v>
      </c>
      <c r="Q405" s="95">
        <f>P405-M405</f>
        <v>-475.14526387646401</v>
      </c>
      <c r="R405" s="79"/>
      <c r="S405" s="1101"/>
      <c r="T405" s="79"/>
      <c r="U405" s="79"/>
      <c r="V405" s="306" t="s">
        <v>88</v>
      </c>
      <c r="W405" s="445"/>
      <c r="X405" s="445"/>
      <c r="Y405" s="445"/>
      <c r="Z405" s="446">
        <f>F5+F93+E193+E249+D313+D361</f>
        <v>2556311.2097828956</v>
      </c>
      <c r="AA405" s="445"/>
      <c r="AB405" s="445"/>
      <c r="AC405" s="446">
        <f>I5+I93+H193+H249+G313+G361</f>
        <v>2556311.2097828956</v>
      </c>
      <c r="AD405" s="447"/>
      <c r="AE405" s="448"/>
      <c r="AF405" s="448">
        <f>L5+L93+K193+K249+J313+J361</f>
        <v>5134565.080000001</v>
      </c>
      <c r="AG405" s="447"/>
      <c r="AH405" s="448"/>
      <c r="AI405" s="449"/>
      <c r="AJ405" s="447"/>
      <c r="AK405" s="448"/>
      <c r="AL405" s="448">
        <f>Q5+Q93+P193+P249+O313+O361</f>
        <v>4185599.39</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216"/>
        <v>Profit brut</v>
      </c>
      <c r="B406" s="2"/>
      <c r="C406" s="23"/>
      <c r="D406" s="23"/>
      <c r="E406" s="23"/>
      <c r="F406" s="23" t="s">
        <v>1949</v>
      </c>
      <c r="G406" s="23"/>
      <c r="H406" s="23"/>
      <c r="I406" s="1099">
        <f>L111+L112+L122+L123+L124+L125+K406</f>
        <v>77012.37000000001</v>
      </c>
      <c r="J406" s="1129">
        <f t="shared" si="217"/>
        <v>0.24884879871381996</v>
      </c>
      <c r="K406">
        <v>1875</v>
      </c>
      <c r="L406" s="23" t="s">
        <v>2926</v>
      </c>
      <c r="M406" s="1099">
        <f>L130</f>
        <v>9012.56</v>
      </c>
      <c r="N406" s="1104">
        <f>I130/(I$130+I$131+I$132)</f>
        <v>0.53097345132743357</v>
      </c>
      <c r="O406" s="1099">
        <f>($J$406*$M$439)*N406</f>
        <v>9172.1271611203993</v>
      </c>
      <c r="P406" s="1100"/>
      <c r="Q406" s="1099">
        <f>O406-M406</f>
        <v>159.56716112039976</v>
      </c>
      <c r="R406" s="79">
        <v>6232</v>
      </c>
      <c r="S406" s="1101">
        <f>Q406</f>
        <v>159.56716112039976</v>
      </c>
      <c r="T406" s="79"/>
      <c r="U406" s="79"/>
      <c r="V406" s="452" t="s">
        <v>205</v>
      </c>
      <c r="W406" s="81"/>
      <c r="X406" s="81"/>
      <c r="Y406" s="81"/>
      <c r="Z406" s="82">
        <f>F27+F107+F193+F249+F313+F361</f>
        <v>541778.88628652471</v>
      </c>
      <c r="AA406" s="81"/>
      <c r="AB406" s="81"/>
      <c r="AC406" s="82">
        <f>I27+I107+I193+I249+I313+I361</f>
        <v>541778.88628652471</v>
      </c>
      <c r="AD406" s="83"/>
      <c r="AE406" s="84"/>
      <c r="AF406" s="84">
        <f>L27+L107+L193+L249+L313+L361</f>
        <v>610165.51</v>
      </c>
      <c r="AG406" s="83"/>
      <c r="AH406" s="84">
        <f>AF406-AC406</f>
        <v>68386.623713475303</v>
      </c>
      <c r="AI406" s="85">
        <f>AH406/AC406</f>
        <v>0.12622607754652959</v>
      </c>
      <c r="AJ406" s="83"/>
      <c r="AK406" s="84"/>
      <c r="AL406" s="84">
        <f>Q27+Q107+Q193+Q249+Q313+Q361</f>
        <v>503043.80000000022</v>
      </c>
      <c r="AM406" s="86"/>
      <c r="AN406" s="84">
        <f>AF406-AL406</f>
        <v>107121.70999999979</v>
      </c>
      <c r="AO406" s="453">
        <f>IF(AL406=0,0,AN406/AL406)</f>
        <v>0.21294708333548637</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216"/>
        <v>DÉPENSES</v>
      </c>
      <c r="B407" s="2"/>
      <c r="C407" s="23"/>
      <c r="D407" s="23"/>
      <c r="E407" s="23"/>
      <c r="F407" s="23" t="s">
        <v>155</v>
      </c>
      <c r="G407" s="23"/>
      <c r="H407" s="23"/>
      <c r="I407" s="57">
        <f>(K193-L193)+L197+L198+L199+L200+K407</f>
        <v>106942.87999999996</v>
      </c>
      <c r="J407" s="1129">
        <f t="shared" si="217"/>
        <v>0.34556276113819362</v>
      </c>
      <c r="K407">
        <v>1094</v>
      </c>
      <c r="L407" s="23" t="s">
        <v>2927</v>
      </c>
      <c r="M407" s="1099">
        <f>L131</f>
        <v>6459</v>
      </c>
      <c r="N407" s="1104">
        <f>I131/(I$130+I$131+I$132)</f>
        <v>0.38053097345132736</v>
      </c>
      <c r="O407" s="1099">
        <f>($J$406*$M$439)*N407</f>
        <v>6573.3577988029529</v>
      </c>
      <c r="P407" s="1100"/>
      <c r="Q407" s="1099">
        <f t="shared" ref="Q407:Q408" si="218">O407-M407</f>
        <v>114.35779880295286</v>
      </c>
      <c r="R407" s="79">
        <v>6239</v>
      </c>
      <c r="S407" s="1101">
        <f>Q407</f>
        <v>114.35779880295286</v>
      </c>
      <c r="T407" s="79"/>
      <c r="U407" s="79"/>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216"/>
        <v>Comm. vendeurs</v>
      </c>
      <c r="B408" s="2"/>
      <c r="C408" s="23"/>
      <c r="D408" s="23"/>
      <c r="E408" s="23"/>
      <c r="F408" s="23" t="s">
        <v>2929</v>
      </c>
      <c r="G408" s="23"/>
      <c r="H408" s="23"/>
      <c r="I408" s="1099">
        <f>L253+L254+L255+L256+K408</f>
        <v>7389.34</v>
      </c>
      <c r="J408" s="1129">
        <f t="shared" si="217"/>
        <v>2.3877052248722878E-2</v>
      </c>
      <c r="K408">
        <v>0</v>
      </c>
      <c r="L408" s="23" t="s">
        <v>1252</v>
      </c>
      <c r="M408" s="1099">
        <f>L132</f>
        <v>1502.09</v>
      </c>
      <c r="N408" s="1104">
        <f>I132/(I$130+I$131+I$132)</f>
        <v>8.8495575221238951E-2</v>
      </c>
      <c r="O408" s="1099">
        <f>($J$406*$M$439)*N408</f>
        <v>1528.6878601867338</v>
      </c>
      <c r="P408" s="1100"/>
      <c r="Q408" s="1099">
        <f t="shared" si="218"/>
        <v>26.597860186733897</v>
      </c>
      <c r="R408" s="79">
        <v>6231</v>
      </c>
      <c r="S408" s="1101">
        <f>Q408</f>
        <v>26.597860186733897</v>
      </c>
      <c r="T408" s="79"/>
      <c r="U408" s="79"/>
      <c r="V408" s="305" t="s">
        <v>103</v>
      </c>
      <c r="W408" s="460" t="s">
        <v>207</v>
      </c>
      <c r="X408" s="455"/>
      <c r="Y408" s="461">
        <f t="shared" ref="Y408:Y414" si="219">Z408/(D$13+D$96)</f>
        <v>427.42441289987647</v>
      </c>
      <c r="Z408" s="87">
        <f t="shared" ref="Z408:Z414" si="220">+SUMIF($C:$C,$V408,F:F)</f>
        <v>40677.672039713987</v>
      </c>
      <c r="AA408" s="455"/>
      <c r="AB408" s="461">
        <f t="shared" ref="AB408:AB414" si="221">IF(AC408=0,0,AC408/(G$13+G$96))</f>
        <v>426.42664772048465</v>
      </c>
      <c r="AC408" s="87">
        <f t="shared" ref="AC408:AC414" si="222">+SUMIF($C:$C,$V408,I:I)</f>
        <v>40677.672039713987</v>
      </c>
      <c r="AD408" s="462"/>
      <c r="AE408" s="461">
        <f t="shared" ref="AE408:AE413" si="223">IF(AF408=0,0,AF408/(J$13+J$96))</f>
        <v>631.37598039215698</v>
      </c>
      <c r="AF408" s="87">
        <f t="shared" ref="AF408:AF414" si="224">+SUMIF($C:$C,$V408,L:L)</f>
        <v>64400.350000000006</v>
      </c>
      <c r="AG408" s="456">
        <f t="shared" ref="AG408:AH408" si="225">AE408-AB408</f>
        <v>204.94933267167232</v>
      </c>
      <c r="AH408" s="457">
        <f t="shared" si="225"/>
        <v>23722.677960286019</v>
      </c>
      <c r="AI408" s="458">
        <f>IF(AC408=0,0,AH408/AC408)</f>
        <v>0.5831867157276196</v>
      </c>
      <c r="AJ408" s="462"/>
      <c r="AK408" s="457">
        <f t="shared" ref="AK408:AK414" si="226">AL408/(O$13+O$96)</f>
        <v>519.58562500000005</v>
      </c>
      <c r="AL408" s="87">
        <f t="shared" ref="AL408:AL414" si="227">+SUMIF($C:$C,$V408,Q:Q)</f>
        <v>49880.22</v>
      </c>
      <c r="AM408" s="459">
        <f t="shared" ref="AM408:AM413" si="228">AE408-Y408</f>
        <v>203.9515674922805</v>
      </c>
      <c r="AN408" s="457">
        <f t="shared" ref="AN408:AN413" si="229">AF408-AL408</f>
        <v>14520.130000000005</v>
      </c>
      <c r="AO408" s="214">
        <f>IF(AL408=0,0,AN408/AL408)</f>
        <v>0.29109995906192887</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216"/>
        <v>Comm. F&amp;I</v>
      </c>
      <c r="B409" s="2"/>
      <c r="C409" s="23"/>
      <c r="D409" s="23"/>
      <c r="E409" s="23"/>
      <c r="F409" s="23" t="s">
        <v>2930</v>
      </c>
      <c r="G409" s="23"/>
      <c r="H409" s="23"/>
      <c r="I409" s="1099">
        <f>L317+L318+L319+L320+K409</f>
        <v>26915.329999999998</v>
      </c>
      <c r="J409" s="1129">
        <f t="shared" si="217"/>
        <v>8.6971061109871559E-2</v>
      </c>
      <c r="K409">
        <v>678</v>
      </c>
      <c r="L409" s="968"/>
      <c r="M409" s="1102">
        <f>SUM(M406:M408)</f>
        <v>16973.649999999998</v>
      </c>
      <c r="N409" s="1104">
        <f>SUM(N406:N408)</f>
        <v>0.99999999999999989</v>
      </c>
      <c r="O409" s="1102">
        <f t="shared" ref="O409" si="230">SUM(O406:O408)</f>
        <v>17274.172820110085</v>
      </c>
      <c r="P409" s="968"/>
      <c r="Q409" s="1103">
        <f>SUM(Q406:Q408)</f>
        <v>300.52282011008651</v>
      </c>
      <c r="R409" s="79"/>
      <c r="S409" s="1101"/>
      <c r="T409" s="79"/>
      <c r="U409" s="79"/>
      <c r="V409" s="306" t="s">
        <v>104</v>
      </c>
      <c r="W409" s="463" t="s">
        <v>208</v>
      </c>
      <c r="X409" s="445"/>
      <c r="Y409" s="464">
        <f t="shared" si="219"/>
        <v>370.69098729715341</v>
      </c>
      <c r="Z409" s="446">
        <f t="shared" si="220"/>
        <v>35278.392984266873</v>
      </c>
      <c r="AA409" s="445"/>
      <c r="AB409" s="464">
        <f t="shared" si="221"/>
        <v>369.82565871910111</v>
      </c>
      <c r="AC409" s="446">
        <f t="shared" si="222"/>
        <v>35278.392984266873</v>
      </c>
      <c r="AD409" s="465"/>
      <c r="AE409" s="464">
        <f t="shared" si="223"/>
        <v>482.53519607843134</v>
      </c>
      <c r="AF409" s="446">
        <f t="shared" si="224"/>
        <v>49218.59</v>
      </c>
      <c r="AG409" s="447">
        <f t="shared" ref="AG409:AH409" si="231">AE409-AB409</f>
        <v>112.70953735933023</v>
      </c>
      <c r="AH409" s="448">
        <f t="shared" si="231"/>
        <v>13940.197015733123</v>
      </c>
      <c r="AI409" s="466">
        <f t="shared" ref="AI409:AI413" si="232">IF(AC409=0,0,AH409/AC409)</f>
        <v>0.3951483000359467</v>
      </c>
      <c r="AJ409" s="465"/>
      <c r="AK409" s="448">
        <f t="shared" si="226"/>
        <v>374.23468750000001</v>
      </c>
      <c r="AL409" s="446">
        <f t="shared" si="227"/>
        <v>35926.53</v>
      </c>
      <c r="AM409" s="450">
        <f t="shared" si="228"/>
        <v>111.84420878127793</v>
      </c>
      <c r="AN409" s="448">
        <f t="shared" si="229"/>
        <v>13292.059999999998</v>
      </c>
      <c r="AO409" s="215">
        <f t="shared" ref="AO409:AO413" si="233">IF(AL409=0,0,AN409/AL409)</f>
        <v>0.36997895427139771</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216"/>
        <v>Frais de livraison</v>
      </c>
      <c r="B410" s="2"/>
      <c r="C410" s="23"/>
      <c r="D410" s="23"/>
      <c r="E410" s="23"/>
      <c r="F410" s="23"/>
      <c r="G410" s="23"/>
      <c r="H410" s="23"/>
      <c r="I410" s="1099">
        <f>SUM(I405:I409)</f>
        <v>309474.55</v>
      </c>
      <c r="J410" s="23">
        <f t="shared" si="217"/>
        <v>1</v>
      </c>
      <c r="L410" s="23" t="s">
        <v>155</v>
      </c>
      <c r="M410" s="1102">
        <f>SUM(M406:M408)</f>
        <v>16973.649999999998</v>
      </c>
      <c r="N410" s="1104">
        <f>M409/$M$439</f>
        <v>0.2445195180270236</v>
      </c>
      <c r="O410" s="1104">
        <f>J406</f>
        <v>0.24884879871381996</v>
      </c>
      <c r="P410" s="1100">
        <f>O410*$M$439</f>
        <v>17274.172820110089</v>
      </c>
      <c r="Q410" s="95">
        <f>P410-M409</f>
        <v>300.52282011009083</v>
      </c>
      <c r="R410" s="79"/>
      <c r="S410" s="1101"/>
      <c r="T410" s="79"/>
      <c r="U410" s="79"/>
      <c r="V410" s="305" t="s">
        <v>105</v>
      </c>
      <c r="W410" s="460" t="s">
        <v>209</v>
      </c>
      <c r="X410" s="455"/>
      <c r="Y410" s="461">
        <f t="shared" si="219"/>
        <v>154.998938802597</v>
      </c>
      <c r="Z410" s="87">
        <f t="shared" si="220"/>
        <v>14751.136829876572</v>
      </c>
      <c r="AA410" s="455"/>
      <c r="AB410" s="461">
        <f t="shared" si="221"/>
        <v>154.63711449094694</v>
      </c>
      <c r="AC410" s="87">
        <f t="shared" si="222"/>
        <v>14751.136829876572</v>
      </c>
      <c r="AD410" s="462"/>
      <c r="AE410" s="461">
        <f t="shared" si="223"/>
        <v>189.95519607843138</v>
      </c>
      <c r="AF410" s="87">
        <f t="shared" si="224"/>
        <v>19375.43</v>
      </c>
      <c r="AG410" s="456">
        <f t="shared" ref="AG410:AH410" si="234">AE410-AB410</f>
        <v>35.318081587484443</v>
      </c>
      <c r="AH410" s="457">
        <f t="shared" si="234"/>
        <v>4624.2931701234284</v>
      </c>
      <c r="AI410" s="458">
        <f t="shared" si="232"/>
        <v>0.31348723989580957</v>
      </c>
      <c r="AJ410" s="462"/>
      <c r="AK410" s="457">
        <f t="shared" si="226"/>
        <v>143.27562500000002</v>
      </c>
      <c r="AL410" s="87">
        <f t="shared" si="227"/>
        <v>13754.460000000001</v>
      </c>
      <c r="AM410" s="459">
        <f t="shared" si="228"/>
        <v>34.956257275834389</v>
      </c>
      <c r="AN410" s="457">
        <f t="shared" si="229"/>
        <v>5620.9699999999993</v>
      </c>
      <c r="AO410" s="214">
        <f t="shared" si="233"/>
        <v>0.4086652620313701</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216"/>
        <v>Service gratuit 1</v>
      </c>
      <c r="B411" s="2"/>
      <c r="C411" s="23"/>
      <c r="D411" s="23"/>
      <c r="E411" s="23"/>
      <c r="F411" s="23"/>
      <c r="G411" s="23"/>
      <c r="H411" s="23"/>
      <c r="I411" s="23"/>
      <c r="J411" s="23"/>
      <c r="L411" s="23" t="s">
        <v>2926</v>
      </c>
      <c r="M411" s="1099">
        <f>L205</f>
        <v>12696.33</v>
      </c>
      <c r="N411" s="1104">
        <f>$N$406</f>
        <v>0.53097345132743357</v>
      </c>
      <c r="O411" s="1099">
        <f>($J$407*$M$439)*N411</f>
        <v>12736.832983278387</v>
      </c>
      <c r="P411" s="1100"/>
      <c r="Q411" s="1099">
        <f>O411-M411</f>
        <v>40.502983278387546</v>
      </c>
      <c r="R411" s="79">
        <v>6432</v>
      </c>
      <c r="S411" s="1101">
        <f>Q411</f>
        <v>40.502983278387546</v>
      </c>
      <c r="T411" s="79"/>
      <c r="U411" s="79"/>
      <c r="V411" s="305" t="s">
        <v>106</v>
      </c>
      <c r="W411" s="460" t="s">
        <v>210</v>
      </c>
      <c r="X411" s="455"/>
      <c r="Y411" s="461">
        <f t="shared" si="219"/>
        <v>44.243016160762487</v>
      </c>
      <c r="Z411" s="87">
        <f t="shared" si="220"/>
        <v>4210.5758284256917</v>
      </c>
      <c r="AA411" s="455"/>
      <c r="AB411" s="461">
        <f t="shared" si="221"/>
        <v>44.139736751294549</v>
      </c>
      <c r="AC411" s="87">
        <f t="shared" si="222"/>
        <v>4210.5758284256917</v>
      </c>
      <c r="AD411" s="462"/>
      <c r="AE411" s="461">
        <f t="shared" si="223"/>
        <v>41.109117647058824</v>
      </c>
      <c r="AF411" s="254">
        <f t="shared" si="224"/>
        <v>4193.13</v>
      </c>
      <c r="AG411" s="456">
        <f t="shared" ref="AG411:AH411" si="235">AE411-AB411</f>
        <v>-3.0306191042357256</v>
      </c>
      <c r="AH411" s="457">
        <f t="shared" si="235"/>
        <v>-17.445828425691616</v>
      </c>
      <c r="AI411" s="458">
        <f t="shared" si="232"/>
        <v>-4.1433355285788792E-3</v>
      </c>
      <c r="AJ411" s="462"/>
      <c r="AK411" s="457">
        <f t="shared" si="226"/>
        <v>2.3283333333333336</v>
      </c>
      <c r="AL411" s="87">
        <f t="shared" si="227"/>
        <v>223.52</v>
      </c>
      <c r="AM411" s="459">
        <f t="shared" si="228"/>
        <v>-3.133898513703663</v>
      </c>
      <c r="AN411" s="457">
        <f t="shared" si="229"/>
        <v>3969.61</v>
      </c>
      <c r="AO411" s="216">
        <f t="shared" si="233"/>
        <v>17.759529348604151</v>
      </c>
      <c r="AP411" s="79"/>
      <c r="AQ411" s="79" t="s">
        <v>2940</v>
      </c>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216"/>
        <v>Entretien stock</v>
      </c>
      <c r="B412" s="2"/>
      <c r="C412" s="23"/>
      <c r="D412" s="23"/>
      <c r="E412" s="23"/>
      <c r="F412" s="23"/>
      <c r="G412" s="23"/>
      <c r="H412" s="23"/>
      <c r="I412" s="23"/>
      <c r="J412" s="23"/>
      <c r="L412" s="23" t="s">
        <v>2927</v>
      </c>
      <c r="M412" s="1099">
        <f>L206</f>
        <v>9099.0400000000009</v>
      </c>
      <c r="N412" s="1104">
        <f>$N$407</f>
        <v>0.38053097345132736</v>
      </c>
      <c r="O412" s="1099">
        <f>($J$407*$M$439)*N412</f>
        <v>9128.0636380161777</v>
      </c>
      <c r="P412" s="1100"/>
      <c r="Q412" s="1099">
        <f t="shared" ref="Q412:Q413" si="236">O412-M412</f>
        <v>29.023638016176847</v>
      </c>
      <c r="R412" s="79">
        <v>6439</v>
      </c>
      <c r="S412" s="1101">
        <f>Q412</f>
        <v>29.023638016176847</v>
      </c>
      <c r="T412" s="79"/>
      <c r="U412" s="79"/>
      <c r="V412" s="306" t="s">
        <v>107</v>
      </c>
      <c r="W412" s="463"/>
      <c r="X412" s="445"/>
      <c r="Y412" s="464">
        <f t="shared" si="219"/>
        <v>46.513174571791346</v>
      </c>
      <c r="Z412" s="446">
        <f t="shared" si="220"/>
        <v>4426.6251614422918</v>
      </c>
      <c r="AA412" s="445"/>
      <c r="AB412" s="464">
        <f t="shared" si="221"/>
        <v>46.404595780851814</v>
      </c>
      <c r="AC412" s="446">
        <f t="shared" si="222"/>
        <v>4426.6251614422918</v>
      </c>
      <c r="AD412" s="465"/>
      <c r="AE412" s="464">
        <f t="shared" si="223"/>
        <v>30.395980392156861</v>
      </c>
      <c r="AF412" s="446">
        <f t="shared" si="224"/>
        <v>3100.39</v>
      </c>
      <c r="AG412" s="447">
        <f t="shared" ref="AG412:AH412" si="237">AE412-AB412</f>
        <v>-16.008615388694952</v>
      </c>
      <c r="AH412" s="448">
        <f t="shared" si="237"/>
        <v>-1326.2351614422919</v>
      </c>
      <c r="AI412" s="466">
        <f t="shared" si="232"/>
        <v>-0.29960412573315226</v>
      </c>
      <c r="AJ412" s="465"/>
      <c r="AK412" s="448">
        <f t="shared" si="226"/>
        <v>56.019270833333337</v>
      </c>
      <c r="AL412" s="446">
        <f t="shared" si="227"/>
        <v>5377.85</v>
      </c>
      <c r="AM412" s="450">
        <f t="shared" si="228"/>
        <v>-16.117194179634485</v>
      </c>
      <c r="AN412" s="448">
        <f t="shared" si="229"/>
        <v>-2277.4600000000005</v>
      </c>
      <c r="AO412" s="215">
        <f t="shared" si="233"/>
        <v>-0.42348894074769661</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216"/>
        <v>Publicité 1</v>
      </c>
      <c r="B413" s="2"/>
      <c r="C413" s="23"/>
      <c r="D413" s="23"/>
      <c r="E413" s="23"/>
      <c r="F413" s="23"/>
      <c r="G413" s="23"/>
      <c r="H413" s="23"/>
      <c r="I413" s="23"/>
      <c r="J413" s="23"/>
      <c r="L413" s="23" t="s">
        <v>1252</v>
      </c>
      <c r="M413" s="1099">
        <f>L207</f>
        <v>2116.06</v>
      </c>
      <c r="N413" s="1104">
        <f>$N$408</f>
        <v>8.8495575221238951E-2</v>
      </c>
      <c r="O413" s="1099">
        <f>($J$407*$M$439)*N413</f>
        <v>2122.8054972130653</v>
      </c>
      <c r="P413" s="1100"/>
      <c r="Q413" s="1099">
        <f t="shared" si="236"/>
        <v>6.7454972130653914</v>
      </c>
      <c r="R413" s="79">
        <v>6431</v>
      </c>
      <c r="S413" s="1101">
        <f>Q413</f>
        <v>6.7454972130653914</v>
      </c>
      <c r="T413" s="79"/>
      <c r="U413" s="79"/>
      <c r="V413" s="305" t="s">
        <v>108</v>
      </c>
      <c r="W413" s="460" t="s">
        <v>211</v>
      </c>
      <c r="X413" s="458"/>
      <c r="Y413" s="461">
        <f t="shared" si="219"/>
        <v>133.69438700630104</v>
      </c>
      <c r="Z413" s="87">
        <f t="shared" si="220"/>
        <v>12723.598053971813</v>
      </c>
      <c r="AA413" s="458"/>
      <c r="AB413" s="461">
        <f t="shared" si="221"/>
        <v>133.38229532410162</v>
      </c>
      <c r="AC413" s="87">
        <f t="shared" si="222"/>
        <v>12723.598053971813</v>
      </c>
      <c r="AD413" s="462"/>
      <c r="AE413" s="461">
        <f t="shared" si="223"/>
        <v>110.47058823529413</v>
      </c>
      <c r="AF413" s="87">
        <f t="shared" si="224"/>
        <v>11268.000000000002</v>
      </c>
      <c r="AG413" s="456">
        <f t="shared" ref="AG413:AH414" si="238">AE413-AB413</f>
        <v>-22.911707088807489</v>
      </c>
      <c r="AH413" s="457">
        <f t="shared" si="238"/>
        <v>-1455.5980539718112</v>
      </c>
      <c r="AI413" s="458">
        <f t="shared" si="232"/>
        <v>-0.11440144900816243</v>
      </c>
      <c r="AJ413" s="462"/>
      <c r="AK413" s="457">
        <f t="shared" si="226"/>
        <v>163.02083333333334</v>
      </c>
      <c r="AL413" s="87">
        <f t="shared" si="227"/>
        <v>15650</v>
      </c>
      <c r="AM413" s="459">
        <f t="shared" si="228"/>
        <v>-23.223798771006912</v>
      </c>
      <c r="AN413" s="457">
        <f t="shared" si="229"/>
        <v>-4381.9999999999982</v>
      </c>
      <c r="AO413" s="214">
        <f t="shared" si="233"/>
        <v>-0.27999999999999986</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s="570" customFormat="1" ht="15.75" customHeight="1">
      <c r="A414" s="570" t="str">
        <f t="shared" si="216"/>
        <v>Intérêt de gros</v>
      </c>
      <c r="B414" s="165"/>
      <c r="C414" s="23"/>
      <c r="D414" s="23"/>
      <c r="E414" s="23"/>
      <c r="F414" s="23" t="s">
        <v>2926</v>
      </c>
      <c r="G414" s="23"/>
      <c r="H414" s="23"/>
      <c r="I414" s="23"/>
      <c r="J414" s="23"/>
      <c r="L414" s="23"/>
      <c r="M414" s="1099">
        <f>SUM(M411:M413)</f>
        <v>23911.430000000004</v>
      </c>
      <c r="N414" s="1099"/>
      <c r="O414" s="1099">
        <f t="shared" ref="O414" si="239">SUM(O411:O413)</f>
        <v>23987.702118507634</v>
      </c>
      <c r="P414" s="968"/>
      <c r="Q414" s="1099">
        <f>O414-M414</f>
        <v>76.272118507629784</v>
      </c>
      <c r="R414" s="79"/>
      <c r="S414" s="1101"/>
      <c r="T414" s="79"/>
      <c r="U414" s="79"/>
      <c r="V414" s="305" t="s">
        <v>109</v>
      </c>
      <c r="W414" s="460" t="s">
        <v>212</v>
      </c>
      <c r="X414" s="455"/>
      <c r="Y414" s="461">
        <f t="shared" si="219"/>
        <v>169.39272086157467</v>
      </c>
      <c r="Z414" s="87">
        <f t="shared" si="220"/>
        <v>16120.982651349028</v>
      </c>
      <c r="AA414" s="455"/>
      <c r="AB414" s="461">
        <f t="shared" si="221"/>
        <v>168.99729618900756</v>
      </c>
      <c r="AC414" s="87">
        <f t="shared" si="222"/>
        <v>16120.982651349028</v>
      </c>
      <c r="AD414" s="462"/>
      <c r="AE414" s="461">
        <f>IF(AF414=0,0,AF414/(J$13+J$13))</f>
        <v>91.885573770491817</v>
      </c>
      <c r="AF414" s="87">
        <f t="shared" si="224"/>
        <v>11210.04</v>
      </c>
      <c r="AG414" s="456">
        <f t="shared" si="238"/>
        <v>-77.11172241851574</v>
      </c>
      <c r="AH414" s="457">
        <f t="shared" si="238"/>
        <v>-4910.9426513490271</v>
      </c>
      <c r="AI414" s="458">
        <f t="shared" ref="AI414" si="240">IF(AC414=0,0,AH414/AC414)</f>
        <v>-0.30463047802722326</v>
      </c>
      <c r="AJ414" s="462"/>
      <c r="AK414" s="457">
        <f t="shared" si="226"/>
        <v>243.99770833333332</v>
      </c>
      <c r="AL414" s="87">
        <f t="shared" si="227"/>
        <v>23423.78</v>
      </c>
      <c r="AM414" s="459">
        <f t="shared" ref="AM414" si="241">AE414-Y414</f>
        <v>-77.507147091082857</v>
      </c>
      <c r="AN414" s="457">
        <f t="shared" ref="AN414" si="242">AF414-AL414</f>
        <v>-12213.739999999998</v>
      </c>
      <c r="AO414" s="214">
        <f t="shared" ref="AO414" si="243">IF(AL414=0,0,AN414/AL414)</f>
        <v>-0.52142480846387729</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s="570" customFormat="1" ht="15.75" hidden="1" customHeight="1">
      <c r="A415" s="570" t="str">
        <f t="shared" si="216"/>
        <v>[...]</v>
      </c>
      <c r="B415" s="165"/>
      <c r="C415" s="23"/>
      <c r="D415" s="23"/>
      <c r="E415" s="23"/>
      <c r="F415" s="23"/>
      <c r="G415" s="23"/>
      <c r="H415" s="23"/>
      <c r="I415" s="23"/>
      <c r="J415" s="23"/>
      <c r="L415" s="23" t="s">
        <v>1252</v>
      </c>
      <c r="M415" s="23"/>
      <c r="N415" s="23"/>
      <c r="O415" s="1104"/>
      <c r="P415" s="1100"/>
      <c r="Q415" s="1099">
        <f t="shared" ref="Q415:Q416" si="244">O415-M415</f>
        <v>0</v>
      </c>
      <c r="R415" s="79"/>
      <c r="S415" s="1101"/>
      <c r="T415" s="79"/>
      <c r="U415" s="79"/>
      <c r="V415" s="305" t="s">
        <v>42</v>
      </c>
      <c r="W415" s="460"/>
      <c r="X415" s="458"/>
      <c r="Y415" s="461">
        <f t="shared" ref="Y415:Y417" si="245">Z415/(D$13+D$96)</f>
        <v>0</v>
      </c>
      <c r="Z415" s="87">
        <f>IFERROR(SUMIF($C:$C,$V415,F:F),0)</f>
        <v>0</v>
      </c>
      <c r="AA415" s="455"/>
      <c r="AB415" s="461">
        <f t="shared" ref="AB415:AB417" si="246">IF(AC415=0,0,AC415/(G$13+G$96))</f>
        <v>0</v>
      </c>
      <c r="AC415" s="87">
        <f>IFERROR(SUMIF($C:$C,$V415,I:I),0)</f>
        <v>0</v>
      </c>
      <c r="AD415" s="462"/>
      <c r="AE415" s="461">
        <f t="shared" ref="AE415:AE417" si="247">IF(AF415=0,0,AF415/(J$13+J$13))</f>
        <v>0</v>
      </c>
      <c r="AF415" s="87">
        <f>IFERROR(SUMIF($C:$C,$V415,L:L),0)</f>
        <v>0</v>
      </c>
      <c r="AG415" s="456">
        <f t="shared" ref="AG415:AG417" si="248">AE415-AB415</f>
        <v>0</v>
      </c>
      <c r="AH415" s="457">
        <f t="shared" ref="AH415:AH417" si="249">AF415-AC415</f>
        <v>0</v>
      </c>
      <c r="AI415" s="458">
        <f t="shared" ref="AI415:AI417" si="250">IF(AC415=0,0,AH415/AC415)</f>
        <v>0</v>
      </c>
      <c r="AJ415" s="462"/>
      <c r="AK415" s="457">
        <f t="shared" ref="AK415:AK417" si="251">AL415/(O$13+O$96)</f>
        <v>0</v>
      </c>
      <c r="AL415" s="87">
        <f>IFERROR(SUMIF($C:$C,$V415,Q:Q),0)</f>
        <v>0</v>
      </c>
      <c r="AM415" s="459">
        <f t="shared" ref="AM415:AM417" si="252">AE415-Y415</f>
        <v>0</v>
      </c>
      <c r="AN415" s="457">
        <f t="shared" ref="AN415:AN417" si="253">AF415-AL415</f>
        <v>0</v>
      </c>
      <c r="AO415" s="214">
        <f t="shared" ref="AO415:AO417" si="254">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s="570" customFormat="1" ht="15.75" hidden="1" customHeight="1">
      <c r="A416" s="570" t="str">
        <f t="shared" si="216"/>
        <v>[...]</v>
      </c>
      <c r="B416" s="165"/>
      <c r="C416" s="23"/>
      <c r="D416" s="23"/>
      <c r="E416" s="23"/>
      <c r="F416" s="23"/>
      <c r="G416" s="23"/>
      <c r="H416" s="23"/>
      <c r="I416" s="23"/>
      <c r="J416" s="23"/>
      <c r="L416" s="23"/>
      <c r="M416" s="23"/>
      <c r="N416" s="23"/>
      <c r="O416" s="1104"/>
      <c r="P416" s="1100"/>
      <c r="Q416" s="1099">
        <f t="shared" si="244"/>
        <v>0</v>
      </c>
      <c r="R416" s="79"/>
      <c r="S416" s="1101"/>
      <c r="T416" s="79"/>
      <c r="U416" s="79"/>
      <c r="V416" s="305" t="s">
        <v>42</v>
      </c>
      <c r="W416" s="460"/>
      <c r="X416" s="458"/>
      <c r="Y416" s="461">
        <f t="shared" si="245"/>
        <v>0</v>
      </c>
      <c r="Z416" s="87">
        <f>IFERROR(SUMIF($C:$C,$V416,F:F),0)</f>
        <v>0</v>
      </c>
      <c r="AA416" s="455"/>
      <c r="AB416" s="461">
        <f t="shared" si="246"/>
        <v>0</v>
      </c>
      <c r="AC416" s="87">
        <f>IFERROR(SUMIF($C:$C,$V416,I:I),0)</f>
        <v>0</v>
      </c>
      <c r="AD416" s="462"/>
      <c r="AE416" s="461">
        <f t="shared" si="247"/>
        <v>0</v>
      </c>
      <c r="AF416" s="87">
        <f>IFERROR(SUMIF($C:$C,$V416,L:L),0)</f>
        <v>0</v>
      </c>
      <c r="AG416" s="456">
        <f t="shared" si="248"/>
        <v>0</v>
      </c>
      <c r="AH416" s="457">
        <f t="shared" si="249"/>
        <v>0</v>
      </c>
      <c r="AI416" s="458">
        <f t="shared" si="250"/>
        <v>0</v>
      </c>
      <c r="AJ416" s="462"/>
      <c r="AK416" s="457">
        <f t="shared" si="251"/>
        <v>0</v>
      </c>
      <c r="AL416" s="87">
        <f t="shared" ref="AL416:AL417" si="255">IFERROR(SUMIF($C:$C,$V416,Q:Q),0)</f>
        <v>0</v>
      </c>
      <c r="AM416" s="459">
        <f t="shared" si="252"/>
        <v>0</v>
      </c>
      <c r="AN416" s="457">
        <f t="shared" si="253"/>
        <v>0</v>
      </c>
      <c r="AO416" s="214">
        <f t="shared" si="254"/>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216"/>
        <v>[...]</v>
      </c>
      <c r="B417" s="2"/>
      <c r="C417" s="23"/>
      <c r="D417" s="23"/>
      <c r="E417" s="23"/>
      <c r="F417" s="23"/>
      <c r="G417" s="23"/>
      <c r="H417" s="23"/>
      <c r="I417" s="23"/>
      <c r="J417" s="23"/>
      <c r="L417" s="23"/>
      <c r="M417" s="23"/>
      <c r="N417" s="23"/>
      <c r="O417" s="1104"/>
      <c r="P417" s="1100"/>
      <c r="Q417" s="23"/>
      <c r="R417" s="79"/>
      <c r="S417" s="1101"/>
      <c r="T417" s="79"/>
      <c r="U417" s="79"/>
      <c r="V417" s="305" t="s">
        <v>42</v>
      </c>
      <c r="W417" s="460" t="s">
        <v>212</v>
      </c>
      <c r="X417" s="455"/>
      <c r="Y417" s="461">
        <f t="shared" si="245"/>
        <v>0</v>
      </c>
      <c r="Z417" s="87">
        <f>IFERROR(SUMIF($C:$C,$V417,F:F),0)</f>
        <v>0</v>
      </c>
      <c r="AA417" s="455"/>
      <c r="AB417" s="461">
        <f t="shared" si="246"/>
        <v>0</v>
      </c>
      <c r="AC417" s="87">
        <f>IFERROR(SUMIF($C:$C,$V417,I:I),0)</f>
        <v>0</v>
      </c>
      <c r="AD417" s="462"/>
      <c r="AE417" s="461">
        <f t="shared" si="247"/>
        <v>0</v>
      </c>
      <c r="AF417" s="87">
        <f>IFERROR(SUMIF($C:$C,$V417,L:L),0)</f>
        <v>0</v>
      </c>
      <c r="AG417" s="456">
        <f t="shared" si="248"/>
        <v>0</v>
      </c>
      <c r="AH417" s="457">
        <f t="shared" si="249"/>
        <v>0</v>
      </c>
      <c r="AI417" s="458">
        <f t="shared" si="250"/>
        <v>0</v>
      </c>
      <c r="AJ417" s="462"/>
      <c r="AK417" s="457">
        <f t="shared" si="251"/>
        <v>0</v>
      </c>
      <c r="AL417" s="87">
        <f t="shared" si="255"/>
        <v>0</v>
      </c>
      <c r="AM417" s="459">
        <f t="shared" si="252"/>
        <v>0</v>
      </c>
      <c r="AN417" s="457">
        <f t="shared" si="253"/>
        <v>0</v>
      </c>
      <c r="AO417" s="214">
        <f t="shared" si="254"/>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216"/>
        <v>TOTAL VARIABLES</v>
      </c>
      <c r="B418" s="2"/>
      <c r="C418" s="23"/>
      <c r="D418" s="23"/>
      <c r="E418" s="23"/>
      <c r="F418" s="23" t="s">
        <v>2931</v>
      </c>
      <c r="G418" s="23"/>
      <c r="H418" s="23"/>
      <c r="I418" s="23"/>
      <c r="J418" s="23"/>
      <c r="L418" s="23" t="s">
        <v>2929</v>
      </c>
      <c r="M418" s="1099">
        <f>SUM(M411:M413)</f>
        <v>23911.430000000004</v>
      </c>
      <c r="N418" s="1104">
        <f>M414/$M$439</f>
        <v>0.34446399795782962</v>
      </c>
      <c r="O418" s="1104">
        <f>J407</f>
        <v>0.34556276113819362</v>
      </c>
      <c r="P418" s="1100">
        <f>O418*$M$439</f>
        <v>23987.702118507634</v>
      </c>
      <c r="Q418" s="95">
        <f>P418-M414</f>
        <v>76.272118507629784</v>
      </c>
      <c r="R418" s="79"/>
      <c r="S418" s="1101"/>
      <c r="T418" s="79"/>
      <c r="U418" s="79"/>
      <c r="V418" s="467" t="s">
        <v>110</v>
      </c>
      <c r="W418" s="88"/>
      <c r="X418" s="89">
        <f>Z418/Z406</f>
        <v>0.23660756591620358</v>
      </c>
      <c r="Y418" s="88"/>
      <c r="Z418" s="90">
        <f>SUM(Z408:Z417)</f>
        <v>128188.98354904626</v>
      </c>
      <c r="AA418" s="89">
        <f>AC418/AC406</f>
        <v>0.23660756591620358</v>
      </c>
      <c r="AB418" s="88"/>
      <c r="AC418" s="90">
        <f>SUM(AC408:AC417)</f>
        <v>128188.98354904626</v>
      </c>
      <c r="AD418" s="91">
        <f>AF418/AF406</f>
        <v>0.26675701483028763</v>
      </c>
      <c r="AE418" s="88"/>
      <c r="AF418" s="90">
        <f>SUM(AF408:AF417)</f>
        <v>162765.93000000002</v>
      </c>
      <c r="AG418" s="92"/>
      <c r="AH418" s="93">
        <f>AF418-AC418</f>
        <v>34576.946450953765</v>
      </c>
      <c r="AI418" s="89">
        <f>AH418/AC418</f>
        <v>0.26973414948503993</v>
      </c>
      <c r="AJ418" s="91">
        <f>IF($AL$406=0,0,AL418/$AL$406)</f>
        <v>0.28672723925829113</v>
      </c>
      <c r="AK418" s="88"/>
      <c r="AL418" s="90">
        <f>SUM(AL408:AL417)</f>
        <v>144236.36000000002</v>
      </c>
      <c r="AM418" s="94"/>
      <c r="AN418" s="93">
        <f t="shared" ref="AN418:AN423" si="256">AF418-AL418</f>
        <v>18529.570000000007</v>
      </c>
      <c r="AO418" s="453">
        <f>IF(AL418=0,0,AN418/AL418)</f>
        <v>0.1284667056212456</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216"/>
        <v>Salaires propriétaire</v>
      </c>
      <c r="B419" s="2"/>
      <c r="C419" s="23"/>
      <c r="D419" s="23"/>
      <c r="E419" s="23"/>
      <c r="F419" s="23" t="s">
        <v>1252</v>
      </c>
      <c r="G419" s="23"/>
      <c r="H419" s="23"/>
      <c r="I419" s="23"/>
      <c r="J419" s="23"/>
      <c r="L419" s="23" t="s">
        <v>2926</v>
      </c>
      <c r="M419" s="95">
        <f>L261</f>
        <v>886.33</v>
      </c>
      <c r="N419" s="1104">
        <f>$N$406</f>
        <v>0.53097345132743357</v>
      </c>
      <c r="O419" s="95">
        <f>($J$408*$M$439)*N419</f>
        <v>880.06597013899739</v>
      </c>
      <c r="P419" s="1100"/>
      <c r="Q419" s="1099">
        <f>O419-M419</f>
        <v>-6.2640298610026548</v>
      </c>
      <c r="R419" s="79">
        <v>6532</v>
      </c>
      <c r="S419" s="1101">
        <f>Q419</f>
        <v>-6.2640298610026548</v>
      </c>
      <c r="T419" s="79"/>
      <c r="U419" s="79"/>
      <c r="V419" s="305" t="s">
        <v>213</v>
      </c>
      <c r="W419" s="460" t="s">
        <v>214</v>
      </c>
      <c r="X419" s="455"/>
      <c r="Y419" s="455"/>
      <c r="Z419" s="87">
        <f>+INDEX('Budget original'!$A$2:$AO$496,MATCH($A419,'Budget original'!$A$2:$A$496,0),MATCH(F$2,'Budget original'!$A$2:$AO$2,0))</f>
        <v>0</v>
      </c>
      <c r="AA419" s="455"/>
      <c r="AB419" s="455"/>
      <c r="AC419" s="87">
        <f>+INDEX('Budget révisé'!$A$2:$AO$496,MATCH($A419,'Budget révisé'!$A$2:$A$496,0),MATCH(I$2,'Budget révisé'!$A$2:$AO$2,0))</f>
        <v>0</v>
      </c>
      <c r="AD419" s="462"/>
      <c r="AE419" s="461"/>
      <c r="AF419" s="87">
        <f>SUMIFS(BV_Data_An_Cour!$O:$O,BV_Data_An_Cour!$V:$V,$V419)</f>
        <v>2336.25</v>
      </c>
      <c r="AG419" s="456"/>
      <c r="AH419" s="457">
        <f t="shared" ref="AH419:AH426" si="257">AF419-AC419</f>
        <v>2336.25</v>
      </c>
      <c r="AI419" s="458">
        <f>IF(AC419=0,0,AH419/AC419)</f>
        <v>0</v>
      </c>
      <c r="AJ419" s="462"/>
      <c r="AK419" s="455"/>
      <c r="AL419" s="87">
        <f>SUMIFS(BV_Data_An_Prec!$O:$O,BV_Data_An_Prec!$V:$V,$V419)</f>
        <v>9542.18</v>
      </c>
      <c r="AM419" s="459"/>
      <c r="AN419" s="457">
        <f t="shared" si="256"/>
        <v>-7205.93</v>
      </c>
      <c r="AO419" s="214">
        <f t="shared" ref="AO419:AO423" si="258">IF(AL419=0,0,AN419/AL419)</f>
        <v>-0.75516601028276553</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216"/>
        <v>Salaires cadres</v>
      </c>
      <c r="B420" s="2"/>
      <c r="C420" s="23"/>
      <c r="D420" s="23"/>
      <c r="E420" s="23"/>
      <c r="F420" s="23"/>
      <c r="G420" s="23"/>
      <c r="H420" s="23"/>
      <c r="I420" s="23"/>
      <c r="J420" s="23"/>
      <c r="K420" s="23"/>
      <c r="L420" s="23" t="s">
        <v>2927</v>
      </c>
      <c r="M420" s="95">
        <f>L262</f>
        <v>635.21</v>
      </c>
      <c r="N420" s="1104">
        <f>$N$407</f>
        <v>0.38053097345132736</v>
      </c>
      <c r="O420" s="95">
        <f>($J$408*$M$439)*N420</f>
        <v>630.71394526628137</v>
      </c>
      <c r="P420" s="1100"/>
      <c r="Q420" s="1099">
        <f t="shared" ref="Q420:Q421" si="259">O420-M420</f>
        <v>-4.4960547337186654</v>
      </c>
      <c r="R420" s="79">
        <v>6539</v>
      </c>
      <c r="S420" s="1101">
        <f>Q420</f>
        <v>-4.4960547337186654</v>
      </c>
      <c r="T420" s="79"/>
      <c r="U420" s="79"/>
      <c r="V420" s="305" t="s">
        <v>112</v>
      </c>
      <c r="W420" s="460" t="s">
        <v>215</v>
      </c>
      <c r="X420" s="455"/>
      <c r="Y420" s="455"/>
      <c r="Z420" s="87">
        <f t="shared" ref="Z420:Z430" si="260">+SUMIF($C:$C,$V420,F:F)</f>
        <v>53818.620880569077</v>
      </c>
      <c r="AA420" s="455"/>
      <c r="AB420" s="455"/>
      <c r="AC420" s="87">
        <f t="shared" ref="AC420:AC430" si="261">+SUMIF($C:$C,$V420,I:I)</f>
        <v>53818.620880569077</v>
      </c>
      <c r="AD420" s="462"/>
      <c r="AE420" s="461"/>
      <c r="AF420" s="87">
        <f t="shared" ref="AF420:AF430" si="262">+SUMIF($C:$C,$V420,L:L)</f>
        <v>34199.57</v>
      </c>
      <c r="AG420" s="456"/>
      <c r="AH420" s="457">
        <f t="shared" si="257"/>
        <v>-19619.050880569077</v>
      </c>
      <c r="AI420" s="458">
        <f t="shared" ref="AI420:AI431" si="263">IF(AC420=0,0,AH420/AC420)</f>
        <v>-0.36454020113422175</v>
      </c>
      <c r="AJ420" s="462"/>
      <c r="AK420" s="455"/>
      <c r="AL420" s="87">
        <f t="shared" ref="AL420:AL430" si="264">+SUMIF($C:$C,$V420,Q:Q)</f>
        <v>49268.270000000004</v>
      </c>
      <c r="AM420" s="459"/>
      <c r="AN420" s="457">
        <f t="shared" si="256"/>
        <v>-15068.700000000004</v>
      </c>
      <c r="AO420" s="214">
        <f t="shared" si="258"/>
        <v>-0.30584999229727372</v>
      </c>
      <c r="AP420" s="79"/>
      <c r="AQ420" s="79" t="s">
        <v>2886</v>
      </c>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216"/>
        <v>Salaires commis</v>
      </c>
      <c r="B421" s="2"/>
      <c r="C421" s="79"/>
      <c r="D421" s="79"/>
      <c r="E421" s="79"/>
      <c r="F421" s="79"/>
      <c r="G421" s="79"/>
      <c r="H421" s="79"/>
      <c r="I421" s="79"/>
      <c r="J421" s="79"/>
      <c r="K421" s="79"/>
      <c r="L421" s="23" t="s">
        <v>1252</v>
      </c>
      <c r="M421" s="95">
        <f>L263</f>
        <v>147.72</v>
      </c>
      <c r="N421" s="1104">
        <f>$N$408</f>
        <v>8.8495575221238951E-2</v>
      </c>
      <c r="O421" s="95">
        <f>($J$408*$M$439)*N421</f>
        <v>146.67766168983295</v>
      </c>
      <c r="P421" s="1105"/>
      <c r="Q421" s="1099">
        <f t="shared" si="259"/>
        <v>-1.0423383101670538</v>
      </c>
      <c r="R421" s="79">
        <v>6531</v>
      </c>
      <c r="S421" s="1101">
        <f>Q421</f>
        <v>-1.0423383101670538</v>
      </c>
      <c r="T421" s="79"/>
      <c r="U421" s="79"/>
      <c r="V421" s="306" t="s">
        <v>113</v>
      </c>
      <c r="W421" s="463" t="s">
        <v>216</v>
      </c>
      <c r="X421" s="445"/>
      <c r="Y421" s="445"/>
      <c r="Z421" s="446">
        <f t="shared" si="260"/>
        <v>26435.301540536399</v>
      </c>
      <c r="AA421" s="445"/>
      <c r="AB421" s="445"/>
      <c r="AC421" s="446">
        <f t="shared" si="261"/>
        <v>26435.301540536399</v>
      </c>
      <c r="AD421" s="465"/>
      <c r="AE421" s="464"/>
      <c r="AF421" s="446">
        <f t="shared" si="262"/>
        <v>25348.239999999998</v>
      </c>
      <c r="AG421" s="447"/>
      <c r="AH421" s="448">
        <f t="shared" si="257"/>
        <v>-1087.0615405364006</v>
      </c>
      <c r="AI421" s="466">
        <f t="shared" si="263"/>
        <v>-4.112158655990663E-2</v>
      </c>
      <c r="AJ421" s="465"/>
      <c r="AK421" s="445"/>
      <c r="AL421" s="446">
        <f t="shared" si="264"/>
        <v>24425.7</v>
      </c>
      <c r="AM421" s="450"/>
      <c r="AN421" s="448">
        <f t="shared" si="256"/>
        <v>922.53999999999724</v>
      </c>
      <c r="AO421" s="451">
        <f t="shared" si="258"/>
        <v>3.7769234863279134E-2</v>
      </c>
      <c r="AP421" s="79"/>
      <c r="AQ421" s="79" t="s">
        <v>2877</v>
      </c>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216"/>
        <v>Salaires autres</v>
      </c>
      <c r="B422" s="2"/>
      <c r="C422" s="79"/>
      <c r="D422" s="79"/>
      <c r="E422" s="79"/>
      <c r="F422" s="79"/>
      <c r="G422" s="79"/>
      <c r="H422" s="79"/>
      <c r="I422" s="79"/>
      <c r="J422" s="79"/>
      <c r="K422" s="79"/>
      <c r="L422" s="79"/>
      <c r="M422" s="96">
        <f>SUM(M419:M421)</f>
        <v>1669.26</v>
      </c>
      <c r="N422" s="96"/>
      <c r="O422" s="96">
        <f t="shared" ref="O422" si="265">SUM(O419:O421)</f>
        <v>1657.4575770951117</v>
      </c>
      <c r="P422" s="968"/>
      <c r="Q422" s="1103">
        <f>SUM(Q419:Q421)</f>
        <v>-11.802422904888374</v>
      </c>
      <c r="R422" s="79"/>
      <c r="S422" s="1101"/>
      <c r="T422" s="79"/>
      <c r="U422" s="79"/>
      <c r="V422" s="280" t="s">
        <v>114</v>
      </c>
      <c r="W422" s="460" t="s">
        <v>217</v>
      </c>
      <c r="X422" s="455"/>
      <c r="Y422" s="455"/>
      <c r="Z422" s="87">
        <f t="shared" si="260"/>
        <v>45745.692907402299</v>
      </c>
      <c r="AA422" s="455"/>
      <c r="AB422" s="455"/>
      <c r="AC422" s="87">
        <f t="shared" si="261"/>
        <v>45745.692907402299</v>
      </c>
      <c r="AD422" s="462"/>
      <c r="AE422" s="461"/>
      <c r="AF422" s="254">
        <f t="shared" si="262"/>
        <v>48239.509999999995</v>
      </c>
      <c r="AG422" s="456"/>
      <c r="AH422" s="457">
        <f t="shared" si="257"/>
        <v>2493.8170925976956</v>
      </c>
      <c r="AI422" s="458">
        <f t="shared" si="263"/>
        <v>5.451479547256264E-2</v>
      </c>
      <c r="AJ422" s="462"/>
      <c r="AK422" s="455"/>
      <c r="AL422" s="87">
        <f t="shared" si="264"/>
        <v>48422.58</v>
      </c>
      <c r="AM422" s="459"/>
      <c r="AN422" s="457">
        <f t="shared" si="256"/>
        <v>-183.07000000000698</v>
      </c>
      <c r="AO422" s="214">
        <f t="shared" si="258"/>
        <v>-3.78067422264586E-3</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216"/>
        <v>Salaires spécialistes</v>
      </c>
      <c r="B423" s="2"/>
      <c r="C423" s="79"/>
      <c r="D423" s="79"/>
      <c r="E423" s="79"/>
      <c r="F423" s="79"/>
      <c r="G423" s="79"/>
      <c r="H423" s="79"/>
      <c r="I423" s="79"/>
      <c r="J423" s="79"/>
      <c r="K423" s="79"/>
      <c r="L423" s="79"/>
      <c r="M423" s="96">
        <f>SUM(M419:M421)</f>
        <v>1669.26</v>
      </c>
      <c r="N423" s="1104">
        <f>M422/$M$439</f>
        <v>2.404707594782439E-2</v>
      </c>
      <c r="O423" s="1106">
        <f>J408</f>
        <v>2.3877052248722878E-2</v>
      </c>
      <c r="P423" s="1100">
        <f>O423*$M$439</f>
        <v>1657.4575770951119</v>
      </c>
      <c r="Q423" s="95">
        <f>P423-M422</f>
        <v>-11.80242290488809</v>
      </c>
      <c r="R423" s="79"/>
      <c r="S423" s="1101"/>
      <c r="T423" s="79"/>
      <c r="U423" s="79"/>
      <c r="V423" s="280" t="s">
        <v>115</v>
      </c>
      <c r="W423" s="460" t="s">
        <v>218</v>
      </c>
      <c r="X423" s="455"/>
      <c r="Y423" s="455"/>
      <c r="Z423" s="87">
        <f t="shared" si="260"/>
        <v>34709.818583908047</v>
      </c>
      <c r="AA423" s="455"/>
      <c r="AB423" s="455"/>
      <c r="AC423" s="87">
        <f t="shared" si="261"/>
        <v>34709.818583908047</v>
      </c>
      <c r="AD423" s="462"/>
      <c r="AE423" s="461"/>
      <c r="AF423" s="87">
        <f t="shared" si="262"/>
        <v>20010.830000000002</v>
      </c>
      <c r="AG423" s="456"/>
      <c r="AH423" s="457">
        <f t="shared" si="257"/>
        <v>-14698.988583908045</v>
      </c>
      <c r="AI423" s="458">
        <f t="shared" si="263"/>
        <v>-0.42348214953571378</v>
      </c>
      <c r="AJ423" s="462"/>
      <c r="AK423" s="455"/>
      <c r="AL423" s="87">
        <f t="shared" si="264"/>
        <v>26862.54</v>
      </c>
      <c r="AM423" s="459"/>
      <c r="AN423" s="457">
        <f t="shared" si="256"/>
        <v>-6851.7099999999991</v>
      </c>
      <c r="AO423" s="214">
        <f t="shared" si="258"/>
        <v>-0.25506560436950487</v>
      </c>
      <c r="AP423" s="79"/>
      <c r="AQ423" s="79" t="s">
        <v>2916</v>
      </c>
      <c r="AR423" s="79"/>
      <c r="AS423" s="79"/>
      <c r="AT423" s="79"/>
      <c r="AU423" s="79"/>
      <c r="AV423" s="79"/>
      <c r="AW423" s="79"/>
      <c r="AX423" s="79"/>
      <c r="AY423" s="79"/>
      <c r="AZ423" s="79"/>
      <c r="BA423" s="79"/>
      <c r="BB423" s="79"/>
      <c r="BC423" s="79"/>
      <c r="BD423" s="79"/>
      <c r="BE423" s="79"/>
      <c r="BF423" s="79"/>
      <c r="BG423" s="79"/>
      <c r="BH423" s="79"/>
      <c r="BI423" s="79"/>
    </row>
    <row r="424" spans="1:61" s="570" customFormat="1" ht="15.75" hidden="1" customHeight="1">
      <c r="A424" s="570" t="str">
        <f t="shared" si="216"/>
        <v>[...]</v>
      </c>
      <c r="B424" s="165"/>
      <c r="C424" s="79"/>
      <c r="D424" s="79"/>
      <c r="E424" s="79"/>
      <c r="F424" s="79"/>
      <c r="G424" s="79"/>
      <c r="H424" s="79"/>
      <c r="I424" s="79"/>
      <c r="J424" s="79"/>
      <c r="K424" s="79"/>
      <c r="L424" s="79"/>
      <c r="M424" s="96"/>
      <c r="N424" s="57"/>
      <c r="O424" s="1106"/>
      <c r="P424" s="1105"/>
      <c r="Q424" s="79"/>
      <c r="R424" s="79"/>
      <c r="S424" s="1101"/>
      <c r="T424" s="79"/>
      <c r="U424" s="79"/>
      <c r="V424" s="280" t="s">
        <v>42</v>
      </c>
      <c r="W424" s="460"/>
      <c r="X424" s="455"/>
      <c r="Y424" s="455"/>
      <c r="Z424" s="87">
        <f>IFERROR(SUMIF($C:$C,$V424,F:F),0)</f>
        <v>0</v>
      </c>
      <c r="AA424" s="455"/>
      <c r="AB424" s="455"/>
      <c r="AC424" s="87">
        <f>IFERROR(SUMIF($C:$C,$V424,I:I),0)</f>
        <v>0</v>
      </c>
      <c r="AD424" s="462"/>
      <c r="AE424" s="461"/>
      <c r="AF424" s="87">
        <f>IFERROR(SUMIF($C:$C,$V424,L:L),0)</f>
        <v>0</v>
      </c>
      <c r="AG424" s="456"/>
      <c r="AH424" s="457">
        <f t="shared" si="257"/>
        <v>0</v>
      </c>
      <c r="AI424" s="458">
        <f t="shared" ref="AI424:AI426" si="266">IF(AC424=0,0,AH424/AC424)</f>
        <v>0</v>
      </c>
      <c r="AJ424" s="462"/>
      <c r="AK424" s="455"/>
      <c r="AL424" s="87">
        <f>IFERROR(SUMIF($C:$C,$V424,Q:Q),0)</f>
        <v>0</v>
      </c>
      <c r="AM424" s="459"/>
      <c r="AN424" s="457">
        <f t="shared" ref="AN424:AN426" si="267">AF424-AL424</f>
        <v>0</v>
      </c>
      <c r="AO424" s="214">
        <f t="shared" ref="AO424:AO426" si="268">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s="570" customFormat="1" ht="15.75" hidden="1" customHeight="1">
      <c r="A425" s="570" t="str">
        <f t="shared" si="216"/>
        <v>[...]</v>
      </c>
      <c r="B425" s="165"/>
      <c r="C425" s="79"/>
      <c r="D425" s="79"/>
      <c r="E425" s="79"/>
      <c r="F425" s="79"/>
      <c r="G425" s="79"/>
      <c r="H425" s="79"/>
      <c r="I425" s="79"/>
      <c r="J425" s="79"/>
      <c r="K425" s="79"/>
      <c r="L425" s="79"/>
      <c r="M425" s="96"/>
      <c r="N425" s="57"/>
      <c r="O425" s="1106"/>
      <c r="P425" s="1105"/>
      <c r="Q425" s="79"/>
      <c r="R425" s="79"/>
      <c r="S425" s="1101"/>
      <c r="T425" s="79"/>
      <c r="U425" s="79"/>
      <c r="V425" s="280" t="s">
        <v>42</v>
      </c>
      <c r="W425" s="460"/>
      <c r="X425" s="455"/>
      <c r="Y425" s="455"/>
      <c r="Z425" s="87">
        <f>IFERROR(SUMIF($C:$C,$V425,F:F),0)</f>
        <v>0</v>
      </c>
      <c r="AA425" s="455"/>
      <c r="AB425" s="455"/>
      <c r="AC425" s="87">
        <f>IFERROR(SUMIF($C:$C,$V425,I:I),0)</f>
        <v>0</v>
      </c>
      <c r="AD425" s="462"/>
      <c r="AE425" s="461"/>
      <c r="AF425" s="87">
        <f>IFERROR(SUMIF($C:$C,$V425,L:L),0)</f>
        <v>0</v>
      </c>
      <c r="AG425" s="456"/>
      <c r="AH425" s="457">
        <f t="shared" si="257"/>
        <v>0</v>
      </c>
      <c r="AI425" s="458">
        <f t="shared" si="266"/>
        <v>0</v>
      </c>
      <c r="AJ425" s="462"/>
      <c r="AK425" s="455"/>
      <c r="AL425" s="87">
        <f t="shared" ref="AL425:AL426" si="269">IFERROR(SUMIF($C:$C,$V425,Q:Q),0)</f>
        <v>0</v>
      </c>
      <c r="AM425" s="459"/>
      <c r="AN425" s="457">
        <f t="shared" si="267"/>
        <v>0</v>
      </c>
      <c r="AO425" s="214">
        <f t="shared" si="268"/>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s="570" customFormat="1" ht="15.75" hidden="1" customHeight="1">
      <c r="A426" s="570" t="str">
        <f t="shared" si="216"/>
        <v>[...]</v>
      </c>
      <c r="B426" s="165"/>
      <c r="C426" s="79"/>
      <c r="D426" s="79"/>
      <c r="E426" s="79"/>
      <c r="F426" s="79"/>
      <c r="G426" s="79"/>
      <c r="H426" s="79"/>
      <c r="I426" s="79"/>
      <c r="J426" s="79"/>
      <c r="K426" s="79"/>
      <c r="L426" s="79"/>
      <c r="M426" s="96"/>
      <c r="N426" s="57"/>
      <c r="O426" s="1106"/>
      <c r="P426" s="1105"/>
      <c r="Q426" s="79"/>
      <c r="R426" s="79"/>
      <c r="S426" s="1101"/>
      <c r="T426" s="79"/>
      <c r="U426" s="79"/>
      <c r="V426" s="280" t="s">
        <v>42</v>
      </c>
      <c r="W426" s="460"/>
      <c r="X426" s="455"/>
      <c r="Y426" s="455"/>
      <c r="Z426" s="87">
        <f>IFERROR(SUMIF($C:$C,$V426,F:F),0)</f>
        <v>0</v>
      </c>
      <c r="AA426" s="455"/>
      <c r="AB426" s="455"/>
      <c r="AC426" s="87">
        <f>IFERROR(SUMIF($C:$C,$V426,I:I),0)</f>
        <v>0</v>
      </c>
      <c r="AD426" s="462"/>
      <c r="AE426" s="461"/>
      <c r="AF426" s="87">
        <f>IFERROR(SUMIF($C:$C,$V426,L:L),0)</f>
        <v>0</v>
      </c>
      <c r="AG426" s="456"/>
      <c r="AH426" s="457">
        <f t="shared" si="257"/>
        <v>0</v>
      </c>
      <c r="AI426" s="458">
        <f t="shared" si="266"/>
        <v>0</v>
      </c>
      <c r="AJ426" s="462"/>
      <c r="AK426" s="455"/>
      <c r="AL426" s="87">
        <f t="shared" si="269"/>
        <v>0</v>
      </c>
      <c r="AM426" s="459"/>
      <c r="AN426" s="457">
        <f t="shared" si="267"/>
        <v>0</v>
      </c>
      <c r="AO426" s="214">
        <f t="shared" si="268"/>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216"/>
        <v>Salaires en absences</v>
      </c>
      <c r="B427" s="2"/>
      <c r="C427" s="79"/>
      <c r="D427" s="79"/>
      <c r="E427" s="79"/>
      <c r="F427" s="79"/>
      <c r="G427" s="79"/>
      <c r="H427" s="79"/>
      <c r="I427" s="79"/>
      <c r="J427" s="79"/>
      <c r="K427" s="79"/>
      <c r="L427" s="23" t="s">
        <v>2930</v>
      </c>
      <c r="M427" s="96"/>
      <c r="N427" s="57"/>
      <c r="O427" s="1106"/>
      <c r="P427" s="1105"/>
      <c r="Q427" s="79"/>
      <c r="R427" s="79"/>
      <c r="S427" s="1101"/>
      <c r="T427" s="79"/>
      <c r="U427" s="79"/>
      <c r="V427" s="282" t="s">
        <v>116</v>
      </c>
      <c r="W427" s="463" t="s">
        <v>219</v>
      </c>
      <c r="X427" s="445"/>
      <c r="Y427" s="445"/>
      <c r="Z427" s="446">
        <f t="shared" si="260"/>
        <v>37933.0054723676</v>
      </c>
      <c r="AA427" s="445"/>
      <c r="AB427" s="445"/>
      <c r="AC427" s="446">
        <f t="shared" si="261"/>
        <v>37933.0054723676</v>
      </c>
      <c r="AD427" s="465"/>
      <c r="AE427" s="464"/>
      <c r="AF427" s="1033">
        <f t="shared" si="262"/>
        <v>38214.21</v>
      </c>
      <c r="AG427" s="447"/>
      <c r="AH427" s="448">
        <f t="shared" ref="AH427:AH431" si="270">AF427-AC427</f>
        <v>281.20452763239882</v>
      </c>
      <c r="AI427" s="466">
        <f t="shared" si="263"/>
        <v>7.4131887028367162E-3</v>
      </c>
      <c r="AJ427" s="465"/>
      <c r="AK427" s="445"/>
      <c r="AL427" s="446">
        <f t="shared" si="264"/>
        <v>40712.31</v>
      </c>
      <c r="AM427" s="450"/>
      <c r="AN427" s="448">
        <f t="shared" ref="AN427:AN430" si="271">AF427-AL427</f>
        <v>-2498.0999999999985</v>
      </c>
      <c r="AO427" s="215">
        <f t="shared" ref="AO427:AO430" si="272">IF(AL427=0,0,AN427/AL427)</f>
        <v>-6.1359819671249281E-2</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216"/>
        <v>Déduction à la source</v>
      </c>
      <c r="B428" s="2"/>
      <c r="C428" s="79"/>
      <c r="D428" s="79"/>
      <c r="E428" s="79"/>
      <c r="F428" s="79"/>
      <c r="G428" s="79"/>
      <c r="H428" s="79"/>
      <c r="I428" s="79"/>
      <c r="J428" s="79"/>
      <c r="K428" s="79"/>
      <c r="L428" s="23" t="s">
        <v>2926</v>
      </c>
      <c r="M428" s="96">
        <f>L325</f>
        <v>48.61</v>
      </c>
      <c r="N428" s="1104">
        <f>$N$406</f>
        <v>0.53097345132743357</v>
      </c>
      <c r="O428" s="96">
        <f>($J$409*$M$439)*N428</f>
        <v>3205.5996892904177</v>
      </c>
      <c r="P428" s="1105"/>
      <c r="Q428" s="1099">
        <f>O428-M428</f>
        <v>3156.9896892904176</v>
      </c>
      <c r="R428" s="79">
        <v>6732</v>
      </c>
      <c r="S428" s="1101">
        <f>Q428</f>
        <v>3156.9896892904176</v>
      </c>
      <c r="T428" s="79"/>
      <c r="U428" s="79"/>
      <c r="V428" s="280" t="s">
        <v>117</v>
      </c>
      <c r="W428" s="460" t="s">
        <v>220</v>
      </c>
      <c r="X428" s="455"/>
      <c r="Y428" s="455"/>
      <c r="Z428" s="87">
        <f t="shared" si="260"/>
        <v>37933.0054723676</v>
      </c>
      <c r="AA428" s="455"/>
      <c r="AB428" s="455"/>
      <c r="AC428" s="87">
        <f t="shared" si="261"/>
        <v>37933.0054723676</v>
      </c>
      <c r="AD428" s="462"/>
      <c r="AE428" s="461"/>
      <c r="AF428" s="254">
        <f t="shared" si="262"/>
        <v>33759.730000000003</v>
      </c>
      <c r="AG428" s="456"/>
      <c r="AH428" s="457">
        <f t="shared" si="270"/>
        <v>-4173.2754723675971</v>
      </c>
      <c r="AI428" s="458">
        <f t="shared" si="263"/>
        <v>-0.1100170002455416</v>
      </c>
      <c r="AJ428" s="462"/>
      <c r="AK428" s="455"/>
      <c r="AL428" s="87">
        <f t="shared" si="264"/>
        <v>32713.679999999997</v>
      </c>
      <c r="AM428" s="459"/>
      <c r="AN428" s="457">
        <f t="shared" si="271"/>
        <v>1046.0500000000065</v>
      </c>
      <c r="AO428" s="214">
        <f t="shared" si="272"/>
        <v>3.1975919554143917E-2</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216"/>
        <v>Bénéfices marginaux</v>
      </c>
      <c r="B429" s="2"/>
      <c r="C429" s="79"/>
      <c r="D429" s="79"/>
      <c r="E429" s="79"/>
      <c r="F429" s="79"/>
      <c r="G429" s="79"/>
      <c r="H429" s="79"/>
      <c r="I429" s="79"/>
      <c r="J429" s="79"/>
      <c r="K429" s="79"/>
      <c r="L429" s="23" t="s">
        <v>2927</v>
      </c>
      <c r="M429" s="96">
        <f>L326</f>
        <v>2255.4299999999998</v>
      </c>
      <c r="N429" s="1104">
        <f>$N$407</f>
        <v>0.38053097345132736</v>
      </c>
      <c r="O429" s="96">
        <f>($J$409*$M$439)*N429</f>
        <v>2297.346443991466</v>
      </c>
      <c r="P429" s="1105"/>
      <c r="Q429" s="1099">
        <f t="shared" ref="Q429:Q430" si="273">O429-M429</f>
        <v>41.916443991466167</v>
      </c>
      <c r="R429" s="79">
        <v>6739</v>
      </c>
      <c r="S429" s="1101">
        <f>Q429</f>
        <v>41.916443991466167</v>
      </c>
      <c r="T429" s="79"/>
      <c r="U429" s="79"/>
      <c r="V429" s="280" t="s">
        <v>118</v>
      </c>
      <c r="W429" s="460" t="s">
        <v>221</v>
      </c>
      <c r="X429" s="455"/>
      <c r="Y429" s="455"/>
      <c r="Z429" s="87">
        <f t="shared" si="260"/>
        <v>27185.320588530114</v>
      </c>
      <c r="AA429" s="455"/>
      <c r="AB429" s="455"/>
      <c r="AC429" s="87">
        <f t="shared" si="261"/>
        <v>27185.320588530114</v>
      </c>
      <c r="AD429" s="462"/>
      <c r="AE429" s="461"/>
      <c r="AF429" s="87">
        <f t="shared" si="262"/>
        <v>26415.07</v>
      </c>
      <c r="AG429" s="456"/>
      <c r="AH429" s="457">
        <f t="shared" si="270"/>
        <v>-770.25058853011433</v>
      </c>
      <c r="AI429" s="458">
        <f t="shared" si="263"/>
        <v>-2.8333327393427699E-2</v>
      </c>
      <c r="AJ429" s="462"/>
      <c r="AK429" s="455"/>
      <c r="AL429" s="87">
        <f t="shared" si="264"/>
        <v>25587.08</v>
      </c>
      <c r="AM429" s="459"/>
      <c r="AN429" s="457">
        <f t="shared" si="271"/>
        <v>827.98999999999796</v>
      </c>
      <c r="AO429" s="214">
        <f t="shared" si="272"/>
        <v>3.2359690906504292E-2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216"/>
        <v>Csst</v>
      </c>
      <c r="B430" s="2"/>
      <c r="C430" s="79"/>
      <c r="D430" s="79"/>
      <c r="E430" s="79"/>
      <c r="F430" s="79"/>
      <c r="G430" s="79"/>
      <c r="H430" s="79"/>
      <c r="I430" s="79"/>
      <c r="J430" s="79"/>
      <c r="K430" s="79"/>
      <c r="L430" s="23" t="s">
        <v>1252</v>
      </c>
      <c r="M430" s="96">
        <f>L327</f>
        <v>3623.0199999999995</v>
      </c>
      <c r="N430" s="1104">
        <f>$N$408</f>
        <v>8.8495575221238951E-2</v>
      </c>
      <c r="O430" s="96">
        <f>($J$409*$M$439)*N430</f>
        <v>534.26661488173647</v>
      </c>
      <c r="P430" s="1105"/>
      <c r="Q430" s="1099">
        <f t="shared" si="273"/>
        <v>-3088.7533851182629</v>
      </c>
      <c r="R430" s="79">
        <v>6731</v>
      </c>
      <c r="S430" s="1101">
        <f>Q430</f>
        <v>-3088.7533851182629</v>
      </c>
      <c r="T430" s="79"/>
      <c r="U430" s="79"/>
      <c r="V430" s="280" t="s">
        <v>119</v>
      </c>
      <c r="W430" s="460"/>
      <c r="X430" s="455"/>
      <c r="Y430" s="455"/>
      <c r="Z430" s="87">
        <f t="shared" si="260"/>
        <v>6322.1675787279346</v>
      </c>
      <c r="AA430" s="455"/>
      <c r="AB430" s="455"/>
      <c r="AC430" s="87">
        <f t="shared" si="261"/>
        <v>6322.1675787279346</v>
      </c>
      <c r="AD430" s="462"/>
      <c r="AE430" s="461"/>
      <c r="AF430" s="87">
        <f t="shared" si="262"/>
        <v>9241.5399999999991</v>
      </c>
      <c r="AG430" s="456"/>
      <c r="AH430" s="457">
        <f t="shared" si="270"/>
        <v>2919.3724212720645</v>
      </c>
      <c r="AI430" s="97">
        <f t="shared" si="263"/>
        <v>0.46176764296707601</v>
      </c>
      <c r="AJ430" s="462"/>
      <c r="AK430" s="455"/>
      <c r="AL430" s="87">
        <f t="shared" si="264"/>
        <v>11931.82</v>
      </c>
      <c r="AM430" s="459"/>
      <c r="AN430" s="457">
        <f t="shared" si="271"/>
        <v>-2690.2800000000007</v>
      </c>
      <c r="AO430" s="214">
        <f t="shared" si="272"/>
        <v>-0.22547105135679224</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216"/>
        <v>[...]</v>
      </c>
      <c r="B431" s="2"/>
      <c r="C431" s="23"/>
      <c r="D431" s="23"/>
      <c r="E431" s="23"/>
      <c r="F431" s="23"/>
      <c r="G431" s="23"/>
      <c r="H431" s="23"/>
      <c r="I431" s="23"/>
      <c r="J431" s="23"/>
      <c r="K431" s="23"/>
      <c r="L431" s="23"/>
      <c r="M431" s="23"/>
      <c r="N431" s="23"/>
      <c r="O431" s="23"/>
      <c r="P431" s="1100"/>
      <c r="Q431" s="1103">
        <f>SUM(Q428:Q430)</f>
        <v>110.1527481636208</v>
      </c>
      <c r="R431" s="79"/>
      <c r="S431" s="968"/>
      <c r="T431" s="79"/>
      <c r="U431" s="79"/>
      <c r="V431" s="291" t="s">
        <v>42</v>
      </c>
      <c r="W431" s="460"/>
      <c r="X431" s="455"/>
      <c r="Y431" s="461"/>
      <c r="Z431" s="87">
        <f>IFERROR(SUMIF($C:$C,$V431,F:F),0)</f>
        <v>0</v>
      </c>
      <c r="AA431" s="455"/>
      <c r="AB431" s="455"/>
      <c r="AC431" s="87">
        <f>IFERROR(SUMIF($C:$C,$V431,I:I),0)</f>
        <v>0</v>
      </c>
      <c r="AD431" s="462"/>
      <c r="AE431" s="461"/>
      <c r="AF431" s="87">
        <f>IFERROR(SUMIF($C:$C,$V431,L:L),0)</f>
        <v>0</v>
      </c>
      <c r="AG431" s="456"/>
      <c r="AH431" s="457">
        <f t="shared" si="270"/>
        <v>0</v>
      </c>
      <c r="AI431" s="458">
        <f t="shared" si="263"/>
        <v>0</v>
      </c>
      <c r="AJ431" s="462"/>
      <c r="AK431" s="455"/>
      <c r="AL431" s="87">
        <f>IFERROR(SUMIF($C:$C,$V431,Q:Q),0)</f>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216"/>
        <v>TOTAL PERSONNEL</v>
      </c>
      <c r="B432" s="2"/>
      <c r="C432" s="79"/>
      <c r="D432" s="79"/>
      <c r="E432" s="79"/>
      <c r="F432" s="79"/>
      <c r="G432" s="79"/>
      <c r="H432" s="79"/>
      <c r="I432" s="79"/>
      <c r="J432" s="79"/>
      <c r="K432" s="79"/>
      <c r="L432" s="968"/>
      <c r="M432" s="968"/>
      <c r="N432" s="968"/>
      <c r="O432" s="1107">
        <f>SUM(O428:O431)</f>
        <v>6037.2127481636198</v>
      </c>
      <c r="P432" s="968"/>
      <c r="Q432" s="1102">
        <f>SUM(Q428:Q430)</f>
        <v>110.1527481636208</v>
      </c>
      <c r="R432" s="79"/>
      <c r="S432" s="968"/>
      <c r="T432" s="79"/>
      <c r="U432" s="79"/>
      <c r="V432" s="467" t="s">
        <v>120</v>
      </c>
      <c r="W432" s="88"/>
      <c r="X432" s="89">
        <f>Z432/Z406</f>
        <v>0.49851136664925927</v>
      </c>
      <c r="Y432" s="88"/>
      <c r="Z432" s="90">
        <f>SUM(Z419:Z431)</f>
        <v>270082.93302440905</v>
      </c>
      <c r="AA432" s="89">
        <f>AC432/AC406</f>
        <v>0.49851136664925927</v>
      </c>
      <c r="AB432" s="88"/>
      <c r="AC432" s="90">
        <f>SUM(AC419:AC431)</f>
        <v>270082.93302440905</v>
      </c>
      <c r="AD432" s="91">
        <f>AF432/AF406</f>
        <v>0.38967287744599005</v>
      </c>
      <c r="AE432" s="98"/>
      <c r="AF432" s="90">
        <f>SUM(AF419:AF431)</f>
        <v>237764.95</v>
      </c>
      <c r="AG432" s="99"/>
      <c r="AH432" s="93">
        <f t="shared" ref="AH432:AH446" si="274">AF432-AC432</f>
        <v>-32317.983024409041</v>
      </c>
      <c r="AI432" s="89">
        <f>AH432/AC432</f>
        <v>-0.11965947889601845</v>
      </c>
      <c r="AJ432" s="91">
        <f>IF($AL$406=0,0,AL432/$AL$406)</f>
        <v>0.53567136698633377</v>
      </c>
      <c r="AK432" s="88"/>
      <c r="AL432" s="90">
        <f>SUM(AL419:AL431)</f>
        <v>269466.16000000003</v>
      </c>
      <c r="AM432" s="100"/>
      <c r="AN432" s="93">
        <f t="shared" ref="AN432:AN446" si="275">AF432-AL432</f>
        <v>-31701.210000000021</v>
      </c>
      <c r="AO432" s="453">
        <f>IF(AL432=0,0,AN432/AL432)</f>
        <v>-0.11764449383922648</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216"/>
        <v>Publicité 2</v>
      </c>
      <c r="B433" s="2"/>
      <c r="C433" s="79"/>
      <c r="D433" s="79"/>
      <c r="E433" s="79"/>
      <c r="F433" s="79"/>
      <c r="G433" s="79"/>
      <c r="H433" s="79"/>
      <c r="I433" s="79"/>
      <c r="J433" s="79"/>
      <c r="K433" s="79"/>
      <c r="L433" s="79"/>
      <c r="M433" s="1107">
        <f>SUM(M428:M431)</f>
        <v>5927.0599999999995</v>
      </c>
      <c r="N433" s="1104">
        <f>M433/$M$439</f>
        <v>8.5384219335101791E-2</v>
      </c>
      <c r="O433" s="1108">
        <f>J409</f>
        <v>8.6971061109871559E-2</v>
      </c>
      <c r="P433" s="1100">
        <f>O433*$M$439</f>
        <v>6037.2127481636207</v>
      </c>
      <c r="Q433" s="95">
        <f>P433-M433</f>
        <v>110.15274816362125</v>
      </c>
      <c r="R433" s="79"/>
      <c r="S433" s="968"/>
      <c r="T433" s="79"/>
      <c r="U433" s="79"/>
      <c r="V433" s="300" t="s">
        <v>121</v>
      </c>
      <c r="W433" s="468" t="s">
        <v>211</v>
      </c>
      <c r="X433" s="469"/>
      <c r="Y433" s="469"/>
      <c r="Z433" s="470">
        <f t="shared" ref="Z433:Z447" si="276">+SUMIF($C:$C,$V433,F:F)</f>
        <v>10881.833333333332</v>
      </c>
      <c r="AA433" s="469"/>
      <c r="AB433" s="469"/>
      <c r="AC433" s="470">
        <f t="shared" ref="AC433:AC447" si="277">+SUMIF($C:$C,$V433,I:I)</f>
        <v>10881.833333333332</v>
      </c>
      <c r="AD433" s="471"/>
      <c r="AE433" s="472"/>
      <c r="AF433" s="248">
        <f t="shared" ref="AF433:AF446" si="278">+SUMIF($C:$C,$V433,L:L)</f>
        <v>10325.69</v>
      </c>
      <c r="AG433" s="471"/>
      <c r="AH433" s="1127">
        <f t="shared" si="274"/>
        <v>-556.14333333333161</v>
      </c>
      <c r="AI433" s="474">
        <f>IF(AC433=0,0,AH433/AC433)</f>
        <v>-5.1107503331239985E-2</v>
      </c>
      <c r="AJ433" s="471"/>
      <c r="AK433" s="469"/>
      <c r="AL433" s="470">
        <f t="shared" ref="AL433:AL446" si="279">+SUMIF($C:$C,$V433,Q:Q)</f>
        <v>18366.689999999999</v>
      </c>
      <c r="AM433" s="475"/>
      <c r="AN433" s="473">
        <f t="shared" si="275"/>
        <v>-8040.9999999999982</v>
      </c>
      <c r="AO433" s="213">
        <f t="shared" ref="AO433:AO446" si="280">IF(AL433=0,0,AN433/AL433)</f>
        <v>-0.4378034365473582</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216"/>
        <v>Service gratuit 2</v>
      </c>
      <c r="B434" s="2"/>
      <c r="C434" s="79"/>
      <c r="D434" s="79"/>
      <c r="E434" s="79"/>
      <c r="F434" s="79"/>
      <c r="G434" s="79"/>
      <c r="H434" s="79"/>
      <c r="I434" s="79"/>
      <c r="J434" s="79"/>
      <c r="K434" s="79"/>
      <c r="L434" s="79" t="s">
        <v>1639</v>
      </c>
      <c r="M434" s="79"/>
      <c r="N434" s="968"/>
      <c r="O434" s="1106"/>
      <c r="P434" s="1109"/>
      <c r="Q434" s="79"/>
      <c r="R434" s="79"/>
      <c r="S434" s="968"/>
      <c r="T434" s="79"/>
      <c r="U434" s="79"/>
      <c r="V434" s="305" t="s">
        <v>122</v>
      </c>
      <c r="W434" s="460" t="s">
        <v>222</v>
      </c>
      <c r="X434" s="455"/>
      <c r="Y434" s="455"/>
      <c r="Z434" s="87">
        <f t="shared" si="276"/>
        <v>5179.8550445119354</v>
      </c>
      <c r="AA434" s="455"/>
      <c r="AB434" s="455"/>
      <c r="AC434" s="87">
        <f t="shared" si="277"/>
        <v>5179.8550445119354</v>
      </c>
      <c r="AD434" s="462"/>
      <c r="AE434" s="461"/>
      <c r="AF434" s="87">
        <f t="shared" si="278"/>
        <v>2532.73</v>
      </c>
      <c r="AG434" s="456"/>
      <c r="AH434" s="457">
        <f t="shared" si="274"/>
        <v>-2647.1250445119354</v>
      </c>
      <c r="AI434" s="458">
        <f t="shared" ref="AI434:AI446" si="281">IF(AC434=0,0,AH434/AC434)</f>
        <v>-0.51104230171779974</v>
      </c>
      <c r="AJ434" s="462"/>
      <c r="AK434" s="455"/>
      <c r="AL434" s="87">
        <f t="shared" si="279"/>
        <v>4087.7300000000005</v>
      </c>
      <c r="AM434" s="459"/>
      <c r="AN434" s="457">
        <f t="shared" si="275"/>
        <v>-1555.0000000000005</v>
      </c>
      <c r="AO434" s="214">
        <f t="shared" si="280"/>
        <v>-0.38040672940727499</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216"/>
        <v>Frais véhicules de cie</v>
      </c>
      <c r="B435" s="2"/>
      <c r="C435" s="79"/>
      <c r="D435" s="79"/>
      <c r="E435" s="79"/>
      <c r="F435" s="79"/>
      <c r="G435" s="79"/>
      <c r="H435" s="79"/>
      <c r="I435" s="79"/>
      <c r="J435" s="79"/>
      <c r="K435" s="79"/>
      <c r="L435" s="23" t="s">
        <v>2926</v>
      </c>
      <c r="M435" s="96">
        <f>M401+M406+M411+M419+M428</f>
        <v>33759.730000000003</v>
      </c>
      <c r="N435" s="1104">
        <f>$N$406</f>
        <v>0.53097345132743357</v>
      </c>
      <c r="O435" s="96">
        <f t="shared" ref="O435:O437" si="282">O401+O406+O411+O419+O428</f>
        <v>36858.233628318572</v>
      </c>
      <c r="P435" s="1109"/>
      <c r="Q435" s="96">
        <f>Q401+Q406+Q411+Q419+Q428</f>
        <v>3098.5036283185755</v>
      </c>
      <c r="R435" s="79"/>
      <c r="S435" s="968"/>
      <c r="T435" s="79"/>
      <c r="U435" s="79"/>
      <c r="V435" s="306" t="s">
        <v>123</v>
      </c>
      <c r="W435" s="463" t="s">
        <v>223</v>
      </c>
      <c r="X435" s="445"/>
      <c r="Y435" s="445"/>
      <c r="Z435" s="446">
        <f t="shared" si="276"/>
        <v>26652.437500000004</v>
      </c>
      <c r="AA435" s="445"/>
      <c r="AB435" s="445"/>
      <c r="AC435" s="446">
        <f t="shared" si="277"/>
        <v>26652.437500000004</v>
      </c>
      <c r="AD435" s="465"/>
      <c r="AE435" s="464"/>
      <c r="AF435" s="446">
        <f t="shared" si="278"/>
        <v>21712.569999999996</v>
      </c>
      <c r="AG435" s="447"/>
      <c r="AH435" s="448">
        <f t="shared" si="274"/>
        <v>-4939.8675000000076</v>
      </c>
      <c r="AI435" s="466">
        <f t="shared" si="281"/>
        <v>-0.18534392961244189</v>
      </c>
      <c r="AJ435" s="465"/>
      <c r="AK435" s="445"/>
      <c r="AL435" s="446">
        <f t="shared" si="279"/>
        <v>35283.440000000002</v>
      </c>
      <c r="AM435" s="450"/>
      <c r="AN435" s="448">
        <f t="shared" si="275"/>
        <v>-13570.870000000006</v>
      </c>
      <c r="AO435" s="451">
        <f t="shared" si="280"/>
        <v>-0.38462434501851306</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216"/>
        <v>Informatique</v>
      </c>
      <c r="B436" s="2"/>
      <c r="C436" s="79"/>
      <c r="D436" s="79"/>
      <c r="E436" s="79"/>
      <c r="F436" s="79"/>
      <c r="G436" s="79"/>
      <c r="H436" s="79"/>
      <c r="I436" s="79"/>
      <c r="J436" s="79"/>
      <c r="K436" s="79"/>
      <c r="L436" s="23" t="s">
        <v>2927</v>
      </c>
      <c r="M436" s="96">
        <f>M402+M407+M412+M420+M429</f>
        <v>26415.07</v>
      </c>
      <c r="N436" s="1104">
        <f>$N$407</f>
        <v>0.38053097345132736</v>
      </c>
      <c r="O436" s="96">
        <f t="shared" si="282"/>
        <v>26415.067433628312</v>
      </c>
      <c r="P436" s="1109"/>
      <c r="Q436" s="96">
        <f>Q402+Q407+Q412+Q420+Q429</f>
        <v>-2.5663716874078091E-3</v>
      </c>
      <c r="R436" s="79"/>
      <c r="S436" s="968"/>
      <c r="T436" s="79"/>
      <c r="U436" s="79"/>
      <c r="V436" s="305" t="s">
        <v>124</v>
      </c>
      <c r="W436" s="460" t="s">
        <v>224</v>
      </c>
      <c r="X436" s="455"/>
      <c r="Y436" s="455"/>
      <c r="Z436" s="87">
        <f t="shared" si="276"/>
        <v>19483.113333333335</v>
      </c>
      <c r="AA436" s="455"/>
      <c r="AB436" s="455"/>
      <c r="AC436" s="87">
        <f t="shared" si="277"/>
        <v>19483.113333333335</v>
      </c>
      <c r="AD436" s="462"/>
      <c r="AE436" s="461"/>
      <c r="AF436" s="87">
        <f t="shared" si="278"/>
        <v>17076.88</v>
      </c>
      <c r="AG436" s="456"/>
      <c r="AH436" s="457">
        <f t="shared" si="274"/>
        <v>-2406.2333333333336</v>
      </c>
      <c r="AI436" s="458">
        <f t="shared" si="281"/>
        <v>-0.12350353314511336</v>
      </c>
      <c r="AJ436" s="462"/>
      <c r="AK436" s="455"/>
      <c r="AL436" s="87">
        <f t="shared" si="279"/>
        <v>17026.02</v>
      </c>
      <c r="AM436" s="459"/>
      <c r="AN436" s="457">
        <f t="shared" si="275"/>
        <v>50.860000000000582</v>
      </c>
      <c r="AO436" s="214">
        <f t="shared" si="280"/>
        <v>2.9871925441178021E-3</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216"/>
        <v>Frais de déplacement</v>
      </c>
      <c r="B437" s="2"/>
      <c r="C437" s="79"/>
      <c r="D437" s="79"/>
      <c r="E437" s="79"/>
      <c r="F437" s="79"/>
      <c r="G437" s="79"/>
      <c r="H437" s="79"/>
      <c r="I437" s="79"/>
      <c r="J437" s="79"/>
      <c r="K437" s="79"/>
      <c r="L437" s="23" t="s">
        <v>1252</v>
      </c>
      <c r="M437" s="96">
        <f>M403+M408+M413+M421+M430</f>
        <v>9241.5399999999991</v>
      </c>
      <c r="N437" s="1104">
        <f>$N$408</f>
        <v>8.8495575221238951E-2</v>
      </c>
      <c r="O437" s="96">
        <f t="shared" si="282"/>
        <v>6143.0389380530978</v>
      </c>
      <c r="P437" s="1109"/>
      <c r="Q437" s="96">
        <f t="shared" ref="Q437" si="283">Q403+Q408+Q413+Q421+Q430</f>
        <v>-3098.5010619469017</v>
      </c>
      <c r="R437" s="79"/>
      <c r="S437" s="968"/>
      <c r="T437" s="79"/>
      <c r="U437" s="79"/>
      <c r="V437" s="305" t="s">
        <v>125</v>
      </c>
      <c r="W437" s="460" t="s">
        <v>225</v>
      </c>
      <c r="X437" s="455"/>
      <c r="Y437" s="455"/>
      <c r="Z437" s="87">
        <f t="shared" si="276"/>
        <v>4989.0524999999998</v>
      </c>
      <c r="AA437" s="455"/>
      <c r="AB437" s="455"/>
      <c r="AC437" s="87">
        <f t="shared" si="277"/>
        <v>4989.0524999999998</v>
      </c>
      <c r="AD437" s="462"/>
      <c r="AE437" s="461"/>
      <c r="AF437" s="87">
        <f t="shared" si="278"/>
        <v>4617.66</v>
      </c>
      <c r="AG437" s="456"/>
      <c r="AH437" s="457">
        <f t="shared" si="274"/>
        <v>-371.39249999999993</v>
      </c>
      <c r="AI437" s="458">
        <f t="shared" si="281"/>
        <v>-7.4441489641570213E-2</v>
      </c>
      <c r="AJ437" s="462"/>
      <c r="AK437" s="455"/>
      <c r="AL437" s="87">
        <f t="shared" si="279"/>
        <v>6077.0000000000009</v>
      </c>
      <c r="AM437" s="459"/>
      <c r="AN437" s="457">
        <f t="shared" si="275"/>
        <v>-1459.3400000000011</v>
      </c>
      <c r="AO437" s="214">
        <f t="shared" si="280"/>
        <v>-0.240141517195985</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216"/>
        <v>Services extérieurs</v>
      </c>
      <c r="B438" s="2"/>
      <c r="C438" s="79"/>
      <c r="D438" s="79"/>
      <c r="E438" s="79"/>
      <c r="F438" s="79"/>
      <c r="G438" s="79"/>
      <c r="H438" s="79"/>
      <c r="I438" s="79"/>
      <c r="J438" s="79"/>
      <c r="K438" s="79"/>
      <c r="L438" s="23"/>
      <c r="M438" s="23"/>
      <c r="N438" s="23"/>
      <c r="O438" s="95">
        <f>SUM(O435:O437)</f>
        <v>69416.339999999982</v>
      </c>
      <c r="P438" s="1109"/>
      <c r="Q438" s="95">
        <f>SUM(Q435:Q437)</f>
        <v>-1.3642420526593924E-11</v>
      </c>
      <c r="R438" s="79"/>
      <c r="S438" s="968"/>
      <c r="T438" s="79"/>
      <c r="U438" s="79"/>
      <c r="V438" s="305" t="s">
        <v>126</v>
      </c>
      <c r="W438" s="460" t="s">
        <v>226</v>
      </c>
      <c r="X438" s="455"/>
      <c r="Y438" s="455"/>
      <c r="Z438" s="87">
        <f t="shared" si="276"/>
        <v>24222.601333333332</v>
      </c>
      <c r="AA438" s="455"/>
      <c r="AB438" s="455"/>
      <c r="AC438" s="87">
        <f t="shared" si="277"/>
        <v>24222.601333333332</v>
      </c>
      <c r="AD438" s="462"/>
      <c r="AE438" s="461"/>
      <c r="AF438" s="87">
        <f t="shared" si="278"/>
        <v>16174.02</v>
      </c>
      <c r="AG438" s="456"/>
      <c r="AH438" s="457">
        <f t="shared" si="274"/>
        <v>-8048.5813333333317</v>
      </c>
      <c r="AI438" s="458">
        <f t="shared" si="281"/>
        <v>-0.33227568016229025</v>
      </c>
      <c r="AJ438" s="462"/>
      <c r="AK438" s="455"/>
      <c r="AL438" s="87">
        <f t="shared" si="279"/>
        <v>28691.05</v>
      </c>
      <c r="AM438" s="459"/>
      <c r="AN438" s="457">
        <f t="shared" si="275"/>
        <v>-12517.029999999999</v>
      </c>
      <c r="AO438" s="214">
        <f t="shared" si="280"/>
        <v>-0.43626949867641646</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79"/>
      <c r="K439" s="79"/>
      <c r="L439" s="968"/>
      <c r="M439" s="1107">
        <f>SUM(M435:M438)</f>
        <v>69416.34</v>
      </c>
      <c r="N439" s="1104">
        <f>M439/$M$439</f>
        <v>1</v>
      </c>
      <c r="O439" s="1106"/>
      <c r="P439" s="1109"/>
      <c r="Q439" s="79"/>
      <c r="R439" s="79"/>
      <c r="S439" s="968"/>
      <c r="T439" s="79"/>
      <c r="U439" s="79"/>
      <c r="V439" s="688" t="s">
        <v>1996</v>
      </c>
      <c r="W439" s="689"/>
      <c r="X439" s="690"/>
      <c r="Y439" s="690"/>
      <c r="Z439" s="691">
        <f t="shared" si="276"/>
        <v>0</v>
      </c>
      <c r="AA439" s="690"/>
      <c r="AB439" s="690"/>
      <c r="AC439" s="691">
        <f t="shared" si="277"/>
        <v>0</v>
      </c>
      <c r="AD439" s="692"/>
      <c r="AE439" s="693"/>
      <c r="AF439" s="691">
        <f t="shared" si="278"/>
        <v>0</v>
      </c>
      <c r="AG439" s="694"/>
      <c r="AH439" s="695">
        <f t="shared" ref="AH439" si="284">AF439-AC439</f>
        <v>0</v>
      </c>
      <c r="AI439" s="696">
        <f t="shared" ref="AI439" si="285">IF(AC439=0,0,AH439/AC439)</f>
        <v>0</v>
      </c>
      <c r="AJ439" s="692"/>
      <c r="AK439" s="690"/>
      <c r="AL439" s="691">
        <f t="shared" si="279"/>
        <v>0</v>
      </c>
      <c r="AM439" s="697"/>
      <c r="AN439" s="695">
        <f t="shared" ref="AN439" si="286">AF439-AL439</f>
        <v>0</v>
      </c>
      <c r="AO439" s="698">
        <f t="shared" ref="AO439" si="28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216"/>
        <v>Fournitures autres</v>
      </c>
      <c r="B440" s="2"/>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76"/>
        <v>1109.1814527032375</v>
      </c>
      <c r="AA440" s="455"/>
      <c r="AB440" s="461"/>
      <c r="AC440" s="87">
        <f t="shared" si="277"/>
        <v>1109.1814527032375</v>
      </c>
      <c r="AD440" s="462"/>
      <c r="AE440" s="461"/>
      <c r="AF440" s="87">
        <f t="shared" si="278"/>
        <v>-711.89</v>
      </c>
      <c r="AG440" s="456"/>
      <c r="AH440" s="457">
        <f t="shared" si="274"/>
        <v>-1821.0714527032374</v>
      </c>
      <c r="AI440" s="458">
        <f t="shared" si="281"/>
        <v>-1.6418156364452541</v>
      </c>
      <c r="AJ440" s="462"/>
      <c r="AK440" s="455"/>
      <c r="AL440" s="87">
        <f t="shared" si="279"/>
        <v>955</v>
      </c>
      <c r="AM440" s="459"/>
      <c r="AN440" s="457">
        <f t="shared" si="275"/>
        <v>-1666.8899999999999</v>
      </c>
      <c r="AO440" s="214">
        <f t="shared" si="280"/>
        <v>-1.7454345549738219</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16"/>
        <v>Uniformes</v>
      </c>
      <c r="B441" s="2"/>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76"/>
        <v>1515</v>
      </c>
      <c r="AA441" s="455"/>
      <c r="AB441" s="455"/>
      <c r="AC441" s="87">
        <f t="shared" si="277"/>
        <v>1515</v>
      </c>
      <c r="AD441" s="462"/>
      <c r="AE441" s="461"/>
      <c r="AF441" s="87">
        <f t="shared" si="278"/>
        <v>425.65</v>
      </c>
      <c r="AG441" s="456"/>
      <c r="AH441" s="457">
        <f t="shared" si="274"/>
        <v>-1089.3499999999999</v>
      </c>
      <c r="AI441" s="97">
        <f t="shared" si="281"/>
        <v>-0.71904290429042894</v>
      </c>
      <c r="AJ441" s="462"/>
      <c r="AK441" s="455"/>
      <c r="AL441" s="87">
        <f t="shared" si="279"/>
        <v>1515</v>
      </c>
      <c r="AM441" s="459"/>
      <c r="AN441" s="457">
        <f t="shared" si="275"/>
        <v>-1089.3499999999999</v>
      </c>
      <c r="AO441" s="214">
        <f t="shared" si="280"/>
        <v>-0.71904290429042894</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16"/>
        <v>Papeterie</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76"/>
        <v>2180</v>
      </c>
      <c r="AA442" s="455"/>
      <c r="AB442" s="455"/>
      <c r="AC442" s="87">
        <f t="shared" si="277"/>
        <v>2180</v>
      </c>
      <c r="AD442" s="462"/>
      <c r="AE442" s="461"/>
      <c r="AF442" s="87">
        <f t="shared" si="278"/>
        <v>1458.3</v>
      </c>
      <c r="AG442" s="456"/>
      <c r="AH442" s="457">
        <f t="shared" si="274"/>
        <v>-721.7</v>
      </c>
      <c r="AI442" s="458">
        <f t="shared" si="281"/>
        <v>-0.33105504587155965</v>
      </c>
      <c r="AJ442" s="462"/>
      <c r="AK442" s="455"/>
      <c r="AL442" s="87">
        <f t="shared" si="279"/>
        <v>1850</v>
      </c>
      <c r="AM442" s="459"/>
      <c r="AN442" s="457">
        <f t="shared" si="275"/>
        <v>-391.70000000000005</v>
      </c>
      <c r="AO442" s="214">
        <f t="shared" si="280"/>
        <v>-0.21172972972972975</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16"/>
        <v>Téléphone</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76"/>
        <v>1949.1</v>
      </c>
      <c r="AA443" s="455"/>
      <c r="AB443" s="455"/>
      <c r="AC443" s="87">
        <f t="shared" si="277"/>
        <v>1949.1</v>
      </c>
      <c r="AD443" s="462"/>
      <c r="AE443" s="461"/>
      <c r="AF443" s="87">
        <f t="shared" si="278"/>
        <v>443.97999999999996</v>
      </c>
      <c r="AG443" s="456"/>
      <c r="AH443" s="457">
        <f t="shared" si="274"/>
        <v>-1505.12</v>
      </c>
      <c r="AI443" s="97">
        <f t="shared" si="281"/>
        <v>-0.77221281617156634</v>
      </c>
      <c r="AJ443" s="462"/>
      <c r="AK443" s="455"/>
      <c r="AL443" s="87">
        <f t="shared" si="279"/>
        <v>1767.5000000000002</v>
      </c>
      <c r="AM443" s="459"/>
      <c r="AN443" s="457">
        <f t="shared" si="275"/>
        <v>-1323.5200000000002</v>
      </c>
      <c r="AO443" s="214">
        <f t="shared" si="280"/>
        <v>-0.74880905233380479</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16"/>
        <v>Frais postaux</v>
      </c>
      <c r="B444" s="2"/>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76"/>
        <v>865</v>
      </c>
      <c r="AA444" s="455"/>
      <c r="AB444" s="455"/>
      <c r="AC444" s="87">
        <f t="shared" si="277"/>
        <v>865</v>
      </c>
      <c r="AD444" s="462"/>
      <c r="AE444" s="461"/>
      <c r="AF444" s="87">
        <f t="shared" si="278"/>
        <v>705.82999999999993</v>
      </c>
      <c r="AG444" s="456"/>
      <c r="AH444" s="457">
        <f t="shared" si="274"/>
        <v>-159.17000000000007</v>
      </c>
      <c r="AI444" s="458">
        <f t="shared" si="281"/>
        <v>-0.18401156069364169</v>
      </c>
      <c r="AJ444" s="462"/>
      <c r="AK444" s="455"/>
      <c r="AL444" s="87">
        <f t="shared" si="279"/>
        <v>432.28</v>
      </c>
      <c r="AM444" s="459"/>
      <c r="AN444" s="457">
        <f t="shared" si="275"/>
        <v>273.54999999999995</v>
      </c>
      <c r="AO444" s="214">
        <f t="shared" si="280"/>
        <v>0.63280743962246688</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16"/>
        <v>Divers</v>
      </c>
      <c r="B445" s="2"/>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76"/>
        <v>3891</v>
      </c>
      <c r="AA445" s="455"/>
      <c r="AB445" s="461"/>
      <c r="AC445" s="87">
        <f t="shared" si="277"/>
        <v>3891</v>
      </c>
      <c r="AD445" s="462"/>
      <c r="AE445" s="461"/>
      <c r="AF445" s="254">
        <f t="shared" si="278"/>
        <v>2511.64</v>
      </c>
      <c r="AG445" s="456"/>
      <c r="AH445" s="457">
        <f t="shared" si="274"/>
        <v>-1379.3600000000001</v>
      </c>
      <c r="AI445" s="97">
        <f t="shared" si="281"/>
        <v>-0.35450012850167056</v>
      </c>
      <c r="AJ445" s="462"/>
      <c r="AK445" s="455"/>
      <c r="AL445" s="87">
        <f t="shared" si="279"/>
        <v>5153.7</v>
      </c>
      <c r="AM445" s="459"/>
      <c r="AN445" s="457">
        <f t="shared" si="275"/>
        <v>-2642.06</v>
      </c>
      <c r="AO445" s="214">
        <f t="shared" si="280"/>
        <v>-0.51265304538486911</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16"/>
        <v>Formation</v>
      </c>
      <c r="B446" s="2"/>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76"/>
        <v>3188.5833333333335</v>
      </c>
      <c r="AA446" s="455"/>
      <c r="AB446" s="461"/>
      <c r="AC446" s="87">
        <f t="shared" si="277"/>
        <v>3188.5833333333335</v>
      </c>
      <c r="AD446" s="462"/>
      <c r="AE446" s="461"/>
      <c r="AF446" s="87">
        <f t="shared" si="278"/>
        <v>4538.99</v>
      </c>
      <c r="AG446" s="456"/>
      <c r="AH446" s="457">
        <f t="shared" si="274"/>
        <v>1350.4066666666663</v>
      </c>
      <c r="AI446" s="458">
        <f t="shared" si="281"/>
        <v>0.42351305438674425</v>
      </c>
      <c r="AJ446" s="462"/>
      <c r="AK446" s="455"/>
      <c r="AL446" s="87">
        <f t="shared" si="279"/>
        <v>7762.5</v>
      </c>
      <c r="AM446" s="459"/>
      <c r="AN446" s="457">
        <f t="shared" si="275"/>
        <v>-3223.51</v>
      </c>
      <c r="AO446" s="214">
        <f t="shared" si="280"/>
        <v>-0.41526698872785833</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tr">
        <f t="shared" si="216"/>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76"/>
        <v>7148.0561159126655</v>
      </c>
      <c r="AA447" s="455"/>
      <c r="AB447" s="461"/>
      <c r="AC447" s="87">
        <f t="shared" si="277"/>
        <v>7148.0561159126655</v>
      </c>
      <c r="AD447" s="462"/>
      <c r="AE447" s="461"/>
      <c r="AF447" s="1033">
        <f>SUMIFS(BV_Data_An_Cour!$O:$O,BV_Data_An_Cour!$V:$V,$V447)</f>
        <v>7040.08</v>
      </c>
      <c r="AG447" s="456"/>
      <c r="AH447" s="457">
        <f t="shared" ref="AH447:AH450" si="288">AF447-AC447</f>
        <v>-107.97611591266559</v>
      </c>
      <c r="AI447" s="458">
        <f t="shared" ref="AI447:AI450" si="289">IF(AC447=0,0,AH447/AC447)</f>
        <v>-1.5105661477991793E-2</v>
      </c>
      <c r="AJ447" s="462"/>
      <c r="AK447" s="455"/>
      <c r="AL447" s="254">
        <f>SUMIFS(BV_Data_An_Prec!$O:$O,BV_Data_An_Prec!$V:$V,$V447)</f>
        <v>6671.88</v>
      </c>
      <c r="AM447" s="459"/>
      <c r="AN447" s="457">
        <f t="shared" ref="AN447:AN450" si="290">AF447-AL447</f>
        <v>368.19999999999982</v>
      </c>
      <c r="AO447" s="214">
        <f t="shared" ref="AO447:AO450" si="291">IF(AL447=0,0,AN447/AL447)</f>
        <v>5.5186843888079491E-2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tr">
        <f t="shared" si="216"/>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ref="Z448:Z450" si="292">IFERROR(SUMIF($C:$C,$V448,F:F),0)</f>
        <v>0</v>
      </c>
      <c r="AA448" s="455"/>
      <c r="AB448" s="455"/>
      <c r="AC448" s="87">
        <f t="shared" ref="AC448:AC450" si="293">IFERROR(SUMIF($C:$C,$V448,I:I),0)</f>
        <v>0</v>
      </c>
      <c r="AD448" s="462"/>
      <c r="AE448" s="461"/>
      <c r="AF448" s="87">
        <f t="shared" ref="AF448:AF450" si="294">IFERROR(SUMIF($C:$C,$V448,L:L),0)</f>
        <v>0</v>
      </c>
      <c r="AG448" s="456"/>
      <c r="AH448" s="457">
        <f t="shared" si="288"/>
        <v>0</v>
      </c>
      <c r="AI448" s="458">
        <f t="shared" si="289"/>
        <v>0</v>
      </c>
      <c r="AJ448" s="462"/>
      <c r="AK448" s="455"/>
      <c r="AL448" s="87">
        <f t="shared" ref="AL448:AL450" si="295">IFERROR(SUMIF($C:$C,$V448,Q:Q),0)</f>
        <v>0</v>
      </c>
      <c r="AM448" s="459"/>
      <c r="AN448" s="457">
        <f t="shared" si="290"/>
        <v>0</v>
      </c>
      <c r="AO448" s="214">
        <f t="shared" si="29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tr">
        <f t="shared" si="216"/>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92"/>
        <v>0</v>
      </c>
      <c r="AA449" s="455"/>
      <c r="AB449" s="455"/>
      <c r="AC449" s="87">
        <f t="shared" si="293"/>
        <v>0</v>
      </c>
      <c r="AD449" s="462"/>
      <c r="AE449" s="461"/>
      <c r="AF449" s="87">
        <f t="shared" si="294"/>
        <v>0</v>
      </c>
      <c r="AG449" s="456"/>
      <c r="AH449" s="457">
        <f t="shared" si="288"/>
        <v>0</v>
      </c>
      <c r="AI449" s="458">
        <f t="shared" si="289"/>
        <v>0</v>
      </c>
      <c r="AJ449" s="462"/>
      <c r="AK449" s="455"/>
      <c r="AL449" s="87">
        <f t="shared" si="295"/>
        <v>0</v>
      </c>
      <c r="AM449" s="459"/>
      <c r="AN449" s="457">
        <f t="shared" si="290"/>
        <v>0</v>
      </c>
      <c r="AO449" s="214">
        <f t="shared" si="29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16"/>
        <v>[...]</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92"/>
        <v>0</v>
      </c>
      <c r="AA450" s="455"/>
      <c r="AB450" s="455"/>
      <c r="AC450" s="87">
        <f t="shared" si="293"/>
        <v>0</v>
      </c>
      <c r="AD450" s="462"/>
      <c r="AE450" s="461"/>
      <c r="AF450" s="87">
        <f t="shared" si="294"/>
        <v>0</v>
      </c>
      <c r="AG450" s="456"/>
      <c r="AH450" s="457">
        <f t="shared" si="288"/>
        <v>0</v>
      </c>
      <c r="AI450" s="458">
        <f t="shared" si="289"/>
        <v>0</v>
      </c>
      <c r="AJ450" s="462"/>
      <c r="AK450" s="455"/>
      <c r="AL450" s="87">
        <f t="shared" si="295"/>
        <v>0</v>
      </c>
      <c r="AM450" s="459"/>
      <c r="AN450" s="457">
        <f t="shared" si="290"/>
        <v>0</v>
      </c>
      <c r="AO450" s="214">
        <f t="shared" si="29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16"/>
        <v>TOTAL SEMI-FIXES</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0.2090425020486408</v>
      </c>
      <c r="Y451" s="88"/>
      <c r="Z451" s="90">
        <f>+SUM(Z433:Z450)</f>
        <v>113254.81394646117</v>
      </c>
      <c r="AA451" s="89">
        <f>AC451/+AC406</f>
        <v>0.2090425020486408</v>
      </c>
      <c r="AB451" s="88"/>
      <c r="AC451" s="90">
        <f>+SUM(AC433:AC450)</f>
        <v>113254.81394646117</v>
      </c>
      <c r="AD451" s="91">
        <f>AF451/AF406</f>
        <v>0.14561971882022634</v>
      </c>
      <c r="AE451" s="88"/>
      <c r="AF451" s="90">
        <f>+SUM(AF433:AF450)</f>
        <v>88852.13</v>
      </c>
      <c r="AG451" s="99"/>
      <c r="AH451" s="555">
        <f>+SUM(AH433:AH450)</f>
        <v>-24402.683946461173</v>
      </c>
      <c r="AI451" s="89">
        <f>AH451/AC451</f>
        <v>-0.21546707902409365</v>
      </c>
      <c r="AJ451" s="91">
        <f>IF($AL$406=0,0,AL451/$AL$406)</f>
        <v>0.26963813091424632</v>
      </c>
      <c r="AK451" s="89"/>
      <c r="AL451" s="90">
        <f>+SUM(AL433:AL450)</f>
        <v>135639.79</v>
      </c>
      <c r="AM451" s="100"/>
      <c r="AN451" s="93">
        <f>+SUM(AN433:AN450)</f>
        <v>-46787.659999999996</v>
      </c>
      <c r="AO451" s="636">
        <f>IF(AL451=0,0,AN451/AL451)</f>
        <v>-0.34494052224645877</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16"/>
        <v>Loyer</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original'!$A$2:$AO$496,MATCH($A452,'Budget original'!$A$2:$A$496,0),MATCH(F$2,'Budget original'!$A$2:$AO$2,0))</f>
        <v>26000</v>
      </c>
      <c r="AA452" s="455"/>
      <c r="AB452" s="461"/>
      <c r="AC452" s="87">
        <f>+INDEX('Budget révisé'!$A$2:$AO$496,MATCH($A452,'Budget révisé'!$A$2:$A$496,0),MATCH(I$2,'Budget révisé'!$A$2:$AO$2,0))</f>
        <v>26000</v>
      </c>
      <c r="AD452" s="462"/>
      <c r="AE452" s="461"/>
      <c r="AF452" s="87">
        <f>SUMIFS(BV_Data_An_Cour!$O:$O,BV_Data_An_Cour!$V:$V,$V452)</f>
        <v>26000</v>
      </c>
      <c r="AG452" s="456"/>
      <c r="AH452" s="457">
        <f t="shared" ref="AH452:AH460" si="296">AF452-AC452</f>
        <v>0</v>
      </c>
      <c r="AI452" s="458">
        <f>IF(AC452=0,0,AH452/AC452)</f>
        <v>0</v>
      </c>
      <c r="AJ452" s="462"/>
      <c r="AK452" s="455"/>
      <c r="AL452" s="87">
        <f>SUMIFS(BV_Data_An_Prec!$O:$O,BV_Data_An_Prec!$V:$V,$V452)</f>
        <v>33118.480000000003</v>
      </c>
      <c r="AM452" s="459"/>
      <c r="AN452" s="457">
        <f t="shared" ref="AN452:AN460" si="297">AF452-AL452</f>
        <v>-7118.4800000000032</v>
      </c>
      <c r="AO452" s="214">
        <f t="shared" ref="AO452:AO460" si="298">IF(AL452=0,0,AN452/AL452)</f>
        <v>-0.21493981607851576</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16"/>
        <v>Taxes foncières</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original'!$A$2:$AO$496,MATCH($A453,'Budget original'!$A$2:$A$496,0),MATCH(F$2,'Budget original'!$A$2:$AO$2,0))</f>
        <v>4810</v>
      </c>
      <c r="AA453" s="455"/>
      <c r="AB453" s="461"/>
      <c r="AC453" s="87">
        <f>+INDEX('Budget révisé'!$A$2:$AO$496,MATCH($A453,'Budget révisé'!$A$2:$A$496,0),MATCH(I$2,'Budget révisé'!$A$2:$AO$2,0))</f>
        <v>4810</v>
      </c>
      <c r="AD453" s="462"/>
      <c r="AE453" s="461"/>
      <c r="AF453" s="87">
        <f>SUMIFS(BV_Data_An_Cour!$O:$O,BV_Data_An_Cour!$V:$V,$V453)</f>
        <v>4810</v>
      </c>
      <c r="AG453" s="456"/>
      <c r="AH453" s="457">
        <f t="shared" si="296"/>
        <v>0</v>
      </c>
      <c r="AI453" s="458">
        <f t="shared" ref="AI453:AI460" si="299">IF(AC453=0,0,AH453/AC453)</f>
        <v>0</v>
      </c>
      <c r="AJ453" s="462"/>
      <c r="AK453" s="455"/>
      <c r="AL453" s="87">
        <f>SUMIFS(BV_Data_An_Prec!$O:$O,BV_Data_An_Prec!$V:$V,$V453)</f>
        <v>4700</v>
      </c>
      <c r="AM453" s="459"/>
      <c r="AN453" s="457">
        <f t="shared" si="297"/>
        <v>110</v>
      </c>
      <c r="AO453" s="214">
        <f t="shared" si="298"/>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16"/>
        <v>Taxes d`affaires</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original'!$A$2:$AO$496,MATCH($A454,'Budget original'!$A$2:$A$496,0),MATCH(F$2,'Budget original'!$A$2:$AO$2,0))</f>
        <v>3200</v>
      </c>
      <c r="AA454" s="445"/>
      <c r="AB454" s="464"/>
      <c r="AC454" s="446">
        <f>+INDEX('Budget révisé'!$A$2:$AO$496,MATCH($A454,'Budget révisé'!$A$2:$A$496,0),MATCH(I$2,'Budget révisé'!$A$2:$AO$2,0))</f>
        <v>3200</v>
      </c>
      <c r="AD454" s="465"/>
      <c r="AE454" s="464"/>
      <c r="AF454" s="446">
        <f>SUMIFS(BV_Data_An_Cour!$O:$O,BV_Data_An_Cour!$V:$V,$V454)</f>
        <v>3200</v>
      </c>
      <c r="AG454" s="447"/>
      <c r="AH454" s="448">
        <f t="shared" si="296"/>
        <v>0</v>
      </c>
      <c r="AI454" s="466">
        <f t="shared" si="299"/>
        <v>0</v>
      </c>
      <c r="AJ454" s="465"/>
      <c r="AK454" s="445"/>
      <c r="AL454" s="446">
        <f>SUMIFS(BV_Data_An_Prec!$O:$O,BV_Data_An_Prec!$V:$V,$V454)</f>
        <v>3150</v>
      </c>
      <c r="AM454" s="450"/>
      <c r="AN454" s="448">
        <f t="shared" si="297"/>
        <v>50</v>
      </c>
      <c r="AO454" s="451">
        <f t="shared" si="298"/>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16"/>
        <v>Taxe sur le capital</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original'!$A$2:$AO$496,MATCH($A455,'Budget original'!$A$2:$A$496,0),MATCH(F$2,'Budget original'!$A$2:$AO$2,0))</f>
        <v>0</v>
      </c>
      <c r="AA455" s="455"/>
      <c r="AB455" s="461"/>
      <c r="AC455" s="87">
        <f>+INDEX('Budget révisé'!$A$2:$AO$496,MATCH($A455,'Budget révisé'!$A$2:$A$496,0),MATCH(I$2,'Budget révisé'!$A$2:$AO$2,0))</f>
        <v>0</v>
      </c>
      <c r="AD455" s="462"/>
      <c r="AE455" s="461"/>
      <c r="AF455" s="87">
        <f>SUMIFS(BV_Data_An_Cour!$O:$O,BV_Data_An_Cour!$V:$V,$V455)</f>
        <v>0</v>
      </c>
      <c r="AG455" s="456"/>
      <c r="AH455" s="457">
        <f t="shared" si="296"/>
        <v>0</v>
      </c>
      <c r="AI455" s="458">
        <f t="shared" si="299"/>
        <v>0</v>
      </c>
      <c r="AJ455" s="462"/>
      <c r="AK455" s="455"/>
      <c r="AL455" s="87">
        <f>SUMIFS(BV_Data_An_Prec!$O:$O,BV_Data_An_Prec!$V:$V,$V455)</f>
        <v>0</v>
      </c>
      <c r="AM455" s="459"/>
      <c r="AN455" s="457">
        <f t="shared" si="297"/>
        <v>0</v>
      </c>
      <c r="AO455" s="214">
        <f t="shared" si="298"/>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16"/>
        <v>Assurances</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original'!$A$2:$AO$496,MATCH($A456,'Budget original'!$A$2:$A$496,0),MATCH(F$2,'Budget original'!$A$2:$AO$2,0))</f>
        <v>3708.0833333333339</v>
      </c>
      <c r="AA456" s="445"/>
      <c r="AB456" s="464"/>
      <c r="AC456" s="446">
        <f>+INDEX('Budget révisé'!$A$2:$AO$496,MATCH($A456,'Budget révisé'!$A$2:$A$496,0),MATCH(I$2,'Budget révisé'!$A$2:$AO$2,0))</f>
        <v>3708.0833333333339</v>
      </c>
      <c r="AD456" s="465"/>
      <c r="AE456" s="464"/>
      <c r="AF456" s="446">
        <f>SUMIF(BV_Data_An_Cour!$V:$V,Print_Mois!$V456,BV_Data_An_Cour!$O:$O)</f>
        <v>3708.11</v>
      </c>
      <c r="AG456" s="447"/>
      <c r="AH456" s="448">
        <f t="shared" si="296"/>
        <v>2.6666666666187666E-2</v>
      </c>
      <c r="AI456" s="466">
        <f t="shared" si="299"/>
        <v>7.1914960557847035E-6</v>
      </c>
      <c r="AJ456" s="465"/>
      <c r="AK456" s="445"/>
      <c r="AL456" s="446">
        <f>SUMIF(BV_Data_An_Prec!$V:$V,Print_Mois!$V456,BV_Data_An_Prec!$O:$O)</f>
        <v>1500</v>
      </c>
      <c r="AM456" s="450"/>
      <c r="AN456" s="448">
        <f t="shared" si="297"/>
        <v>2208.11</v>
      </c>
      <c r="AO456" s="451">
        <f t="shared" si="298"/>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16"/>
        <v>Chauffage, éclairage</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original'!$A$2:$AO$496,MATCH($A457,'Budget original'!$A$2:$A$496,0),MATCH(F$2,'Budget original'!$A$2:$AO$2,0))</f>
        <v>3810</v>
      </c>
      <c r="AA457" s="476"/>
      <c r="AB457" s="477"/>
      <c r="AC457" s="87">
        <f>+INDEX('Budget révisé'!$A$2:$AO$496,MATCH($A457,'Budget révisé'!$A$2:$A$496,0),MATCH(I$2,'Budget révisé'!$A$2:$AO$2,0))</f>
        <v>3810</v>
      </c>
      <c r="AD457" s="462"/>
      <c r="AE457" s="461"/>
      <c r="AF457" s="1113">
        <f>SUMIFS(BV_Data_An_Cour!$O:$O,BV_Data_An_Cour!$V:$V,$V457)</f>
        <v>1742.4900000000002</v>
      </c>
      <c r="AG457" s="456"/>
      <c r="AH457" s="457">
        <f t="shared" si="296"/>
        <v>-2067.5099999999998</v>
      </c>
      <c r="AI457" s="458">
        <f t="shared" si="299"/>
        <v>-0.54265354330708659</v>
      </c>
      <c r="AJ457" s="462"/>
      <c r="AK457" s="455"/>
      <c r="AL457" s="87">
        <f>SUMIFS(BV_Data_An_Prec!$O:$O,BV_Data_An_Prec!$V:$V,$V457)</f>
        <v>3670.0000000000005</v>
      </c>
      <c r="AM457" s="459"/>
      <c r="AN457" s="457">
        <f t="shared" si="297"/>
        <v>-1927.5100000000002</v>
      </c>
      <c r="AO457" s="214">
        <f t="shared" si="298"/>
        <v>-0.52520708446866482</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16"/>
        <v>Honoraires</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original'!$A$2:$AO$496,MATCH($A458,'Budget original'!$A$2:$A$496,0),MATCH(F$2,'Budget original'!$A$2:$AO$2,0))</f>
        <v>6217.1666666666679</v>
      </c>
      <c r="AA458" s="455"/>
      <c r="AB458" s="461"/>
      <c r="AC458" s="87">
        <f>+INDEX('Budget révisé'!$A$2:$AO$496,MATCH($A458,'Budget révisé'!$A$2:$A$496,0),MATCH(I$2,'Budget révisé'!$A$2:$AO$2,0))</f>
        <v>6217.1666666666679</v>
      </c>
      <c r="AD458" s="462"/>
      <c r="AE458" s="461"/>
      <c r="AF458" s="87">
        <f>SUMIFS(BV_Data_An_Cour!$O:$O,BV_Data_An_Cour!$V:$V,$V458)</f>
        <v>6217.0899999999992</v>
      </c>
      <c r="AG458" s="456"/>
      <c r="AH458" s="457">
        <f t="shared" si="296"/>
        <v>-7.6666666668643302E-2</v>
      </c>
      <c r="AI458" s="458">
        <f t="shared" si="299"/>
        <v>-1.2331447873143172E-5</v>
      </c>
      <c r="AJ458" s="462"/>
      <c r="AK458" s="455"/>
      <c r="AL458" s="87">
        <f>SUMIFS(BV_Data_An_Prec!$O:$O,BV_Data_An_Prec!$V:$V,$V458)</f>
        <v>8025</v>
      </c>
      <c r="AM458" s="459"/>
      <c r="AN458" s="457">
        <f t="shared" si="297"/>
        <v>-1807.9100000000008</v>
      </c>
      <c r="AO458" s="214">
        <f t="shared" si="298"/>
        <v>-0.22528473520249231</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16"/>
        <v>Réparation équipement</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original'!$A$2:$AO$496,MATCH($A459,'Budget original'!$A$2:$A$496,0),MATCH(F$2,'Budget original'!$A$2:$AO$2,0))</f>
        <v>1000</v>
      </c>
      <c r="AA459" s="445"/>
      <c r="AB459" s="464"/>
      <c r="AC459" s="446">
        <f>+INDEX('Budget révisé'!$A$2:$AO$496,MATCH($A459,'Budget révisé'!$A$2:$A$496,0),MATCH(I$2,'Budget révisé'!$A$2:$AO$2,0))</f>
        <v>1000</v>
      </c>
      <c r="AD459" s="465"/>
      <c r="AE459" s="464"/>
      <c r="AF459" s="446">
        <f>SUMIFS(BV_Data_An_Cour!$O:$O,BV_Data_An_Cour!$V:$V,$V459)</f>
        <v>1362.12</v>
      </c>
      <c r="AG459" s="447"/>
      <c r="AH459" s="448">
        <f t="shared" si="296"/>
        <v>362.11999999999989</v>
      </c>
      <c r="AI459" s="466">
        <f t="shared" si="299"/>
        <v>0.36211999999999989</v>
      </c>
      <c r="AJ459" s="465"/>
      <c r="AK459" s="445"/>
      <c r="AL459" s="446">
        <f>SUMIFS(BV_Data_An_Prec!$O:$O,BV_Data_An_Prec!$V:$V,$V459)</f>
        <v>884</v>
      </c>
      <c r="AM459" s="450"/>
      <c r="AN459" s="448">
        <f t="shared" si="297"/>
        <v>478.11999999999989</v>
      </c>
      <c r="AO459" s="451">
        <f t="shared" si="298"/>
        <v>0.54085972850678721</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16"/>
        <v>Location équipement</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original'!$A$2:$AO$496,MATCH($A460,'Budget original'!$A$2:$A$496,0),MATCH(F$2,'Budget original'!$A$2:$AO$2,0))</f>
        <v>900</v>
      </c>
      <c r="AA460" s="455"/>
      <c r="AB460" s="461"/>
      <c r="AC460" s="87">
        <f>+INDEX('Budget révisé'!$A$2:$AO$496,MATCH($A460,'Budget révisé'!$A$2:$A$496,0),MATCH(I$2,'Budget révisé'!$A$2:$AO$2,0))</f>
        <v>900</v>
      </c>
      <c r="AD460" s="462"/>
      <c r="AE460" s="461"/>
      <c r="AF460" s="87">
        <f>SUMIFS(BV_Data_An_Cour!$O:$O,BV_Data_An_Cour!$V:$V,$V460)</f>
        <v>0</v>
      </c>
      <c r="AG460" s="456"/>
      <c r="AH460" s="457">
        <f t="shared" si="296"/>
        <v>-900</v>
      </c>
      <c r="AI460" s="478">
        <f t="shared" si="299"/>
        <v>-1</v>
      </c>
      <c r="AJ460" s="455"/>
      <c r="AK460" s="455"/>
      <c r="AL460" s="87">
        <f>SUMIFS(BV_Data_An_Prec!$O:$O,BV_Data_An_Prec!$V:$V,$V460)</f>
        <v>900</v>
      </c>
      <c r="AM460" s="459"/>
      <c r="AN460" s="457">
        <f t="shared" si="297"/>
        <v>-900</v>
      </c>
      <c r="AO460" s="214">
        <f t="shared" si="298"/>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tr">
        <f t="shared" si="216"/>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tr">
        <f t="shared" si="216"/>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f t="shared" ref="Z462:Z464" si="300">IFERROR(SUMIF($C:$C,$V462,F:F),0)</f>
        <v>0</v>
      </c>
      <c r="AA462" s="455"/>
      <c r="AB462" s="455"/>
      <c r="AC462" s="87">
        <f t="shared" ref="AC462:AC464" si="301">IFERROR(SUMIF($C:$C,$V462,I:I),0)</f>
        <v>0</v>
      </c>
      <c r="AD462" s="462"/>
      <c r="AE462" s="461"/>
      <c r="AF462" s="87">
        <f t="shared" ref="AF462:AF464" si="302">IFERROR(SUMIF($C:$C,$V462,L:L),0)</f>
        <v>0</v>
      </c>
      <c r="AG462" s="456"/>
      <c r="AH462" s="457">
        <f t="shared" ref="AH462:AH464" si="303">AF462-AC462</f>
        <v>0</v>
      </c>
      <c r="AI462" s="458">
        <f t="shared" ref="AI462:AI464" si="304">IF(AC462=0,0,AH462/AC462)</f>
        <v>0</v>
      </c>
      <c r="AJ462" s="462"/>
      <c r="AK462" s="455"/>
      <c r="AL462" s="87">
        <f t="shared" ref="AL462:AL464" si="305">IFERROR(SUMIF($C:$C,$V462,Q:Q),0)</f>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tr">
        <f t="shared" si="216"/>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f t="shared" si="300"/>
        <v>0</v>
      </c>
      <c r="AA463" s="455"/>
      <c r="AB463" s="455"/>
      <c r="AC463" s="87">
        <f t="shared" si="301"/>
        <v>0</v>
      </c>
      <c r="AD463" s="462"/>
      <c r="AE463" s="461"/>
      <c r="AF463" s="87">
        <f t="shared" si="302"/>
        <v>0</v>
      </c>
      <c r="AG463" s="456"/>
      <c r="AH463" s="457">
        <f t="shared" si="303"/>
        <v>0</v>
      </c>
      <c r="AI463" s="458">
        <f t="shared" si="304"/>
        <v>0</v>
      </c>
      <c r="AJ463" s="462"/>
      <c r="AK463" s="455"/>
      <c r="AL463" s="87">
        <f t="shared" si="305"/>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16"/>
        <v>[...]</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f t="shared" si="300"/>
        <v>0</v>
      </c>
      <c r="AA464" s="455"/>
      <c r="AB464" s="455"/>
      <c r="AC464" s="87">
        <f t="shared" si="301"/>
        <v>0</v>
      </c>
      <c r="AD464" s="462"/>
      <c r="AE464" s="461"/>
      <c r="AF464" s="87">
        <f t="shared" si="302"/>
        <v>0</v>
      </c>
      <c r="AG464" s="456"/>
      <c r="AH464" s="457">
        <f t="shared" si="303"/>
        <v>0</v>
      </c>
      <c r="AI464" s="458">
        <f t="shared" si="304"/>
        <v>0</v>
      </c>
      <c r="AJ464" s="462"/>
      <c r="AK464" s="455"/>
      <c r="AL464" s="87">
        <f t="shared" si="305"/>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16"/>
        <v>TOTAL DÉPENSES FIXES</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9.1633785030420425E-2</v>
      </c>
      <c r="Y465" s="88"/>
      <c r="Z465" s="90">
        <f>SUM(Z452:Z464)</f>
        <v>49645.25</v>
      </c>
      <c r="AA465" s="89">
        <f>AC465/+AC406</f>
        <v>9.1633785030420425E-2</v>
      </c>
      <c r="AB465" s="88"/>
      <c r="AC465" s="90">
        <f>SUM(AC452:AC464)</f>
        <v>49645.25</v>
      </c>
      <c r="AD465" s="91">
        <f>AF465/AF406</f>
        <v>7.7093525001109942E-2</v>
      </c>
      <c r="AE465" s="88"/>
      <c r="AF465" s="90">
        <f>SUM(AF452:AF464)</f>
        <v>47039.81</v>
      </c>
      <c r="AG465" s="99"/>
      <c r="AH465" s="557">
        <f>SUM(AH452:AH464)</f>
        <v>-2605.4400000000023</v>
      </c>
      <c r="AI465" s="89">
        <f>IF(AC465=0,0,AH465/AC465)</f>
        <v>-5.2481153786112518E-2</v>
      </c>
      <c r="AJ465" s="91">
        <f>IF($AL$406=0,0,AL465/$AL$406)</f>
        <v>0.11121790985198501</v>
      </c>
      <c r="AK465" s="89"/>
      <c r="AL465" s="90">
        <f>SUM(AL452:AL464)</f>
        <v>55947.48</v>
      </c>
      <c r="AM465" s="100"/>
      <c r="AN465" s="93">
        <f>SUM(AN452:AN464)</f>
        <v>-8907.6700000000055</v>
      </c>
      <c r="AO465" s="636">
        <f>IF(AL465=0,0,AN465/AL465)</f>
        <v>-0.15921485650470771</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16"/>
        <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306">AF466-AC466</f>
        <v>0</v>
      </c>
      <c r="AI466" s="458"/>
      <c r="AJ466" s="462"/>
      <c r="AK466" s="455"/>
      <c r="AL466" s="105"/>
      <c r="AM466" s="479"/>
      <c r="AN466" s="457">
        <f t="shared" ref="AN466:AN472" si="30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16"/>
        <v>TOTAL DES DÉPENSES</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1.0357952196445241</v>
      </c>
      <c r="Y467" s="88"/>
      <c r="Z467" s="90">
        <f>Z418+Z432+Z451+Z465</f>
        <v>561171.98051991651</v>
      </c>
      <c r="AA467" s="89">
        <f>AC467/+AC406</f>
        <v>1.0357952196445241</v>
      </c>
      <c r="AB467" s="88"/>
      <c r="AC467" s="90">
        <f>AC418+AC432+AC451+AC465</f>
        <v>561171.98051991651</v>
      </c>
      <c r="AD467" s="91">
        <f>AF467/AF406</f>
        <v>0.87914313609761396</v>
      </c>
      <c r="AE467" s="88"/>
      <c r="AF467" s="90">
        <f>AF418+AF432+AF451+AF465</f>
        <v>536422.82000000007</v>
      </c>
      <c r="AG467" s="99"/>
      <c r="AH467" s="93">
        <f t="shared" si="306"/>
        <v>-24749.160519916448</v>
      </c>
      <c r="AI467" s="89">
        <f>AH467/AC467</f>
        <v>-4.4102630528678147E-2</v>
      </c>
      <c r="AJ467" s="91">
        <f>IF($AL$406=0,0,AL467/$AL$406)</f>
        <v>1.2032546470108563</v>
      </c>
      <c r="AK467" s="89"/>
      <c r="AL467" s="90">
        <f>AL418+AL432+AL451+AL465</f>
        <v>605289.79</v>
      </c>
      <c r="AM467" s="100"/>
      <c r="AN467" s="93">
        <f t="shared" si="307"/>
        <v>-68866.969999999972</v>
      </c>
      <c r="AO467" s="453">
        <f>IF(AL467=0,0,AN467/AL467)</f>
        <v>-0.11377520509638857</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16"/>
        <v>Revenus autres</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original'!$A$2:$AO$496,MATCH($A468,'Budget original'!$A$2:$A$496,0),MATCH(F$2,'Budget original'!$A$2:$AO$2,0))</f>
        <v>0</v>
      </c>
      <c r="AA468" s="249"/>
      <c r="AB468" s="250"/>
      <c r="AC468" s="248">
        <f>+INDEX('Budget révisé'!$A$2:$AO$496,MATCH($A468,'Budget révisé'!$A$2:$A$496,0),MATCH(I$2,'Budget révisé'!$A$2:$AO$2,0))</f>
        <v>0</v>
      </c>
      <c r="AD468" s="252"/>
      <c r="AE468" s="250"/>
      <c r="AF468" s="87">
        <f>-SUMIFS(BV_Data_An_Cour!$O:$O,BV_Data_An_Cour!$V:$V,$V468)</f>
        <v>1082.47</v>
      </c>
      <c r="AG468" s="251"/>
      <c r="AH468" s="482">
        <f t="shared" si="306"/>
        <v>1082.47</v>
      </c>
      <c r="AI468" s="483" t="e">
        <f t="shared" ref="AI468:AI472" si="308">IF(AH468=0,0,AH468/AC468)</f>
        <v>#DIV/0!</v>
      </c>
      <c r="AJ468" s="252"/>
      <c r="AK468" s="249"/>
      <c r="AL468" s="484">
        <f>-SUMIFS(BV_Data_An_Prec!$O:$O,BV_Data_An_Prec!$V:$V,$V468)</f>
        <v>860.07</v>
      </c>
      <c r="AM468" s="253"/>
      <c r="AN468" s="482">
        <f t="shared" si="307"/>
        <v>222.39999999999998</v>
      </c>
      <c r="AO468" s="261">
        <f>IF(AL468=0,0,AN468/AL468)</f>
        <v>0.25858360366016714</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16"/>
        <v>Holdbacks</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309">+SUMIF($C:$C,$V469,F:F)</f>
        <v>51748.318550395255</v>
      </c>
      <c r="AA469" s="255"/>
      <c r="AB469" s="247"/>
      <c r="AC469" s="254">
        <f t="shared" ref="AC469:AC479" si="310">+SUMIF($C:$C,$V469,I:I)</f>
        <v>51748.318550395255</v>
      </c>
      <c r="AD469" s="258"/>
      <c r="AE469" s="247"/>
      <c r="AF469" s="254">
        <f t="shared" ref="AF469:AF479" si="311">+SUMIF($C:$C,$V469,L:L)</f>
        <v>37897</v>
      </c>
      <c r="AG469" s="256"/>
      <c r="AH469" s="482">
        <f t="shared" si="306"/>
        <v>-13851.318550395255</v>
      </c>
      <c r="AI469" s="257">
        <f>IF(AC469=0,0,AH469/AC469)</f>
        <v>-0.26766702645432061</v>
      </c>
      <c r="AJ469" s="258"/>
      <c r="AK469" s="255"/>
      <c r="AL469" s="259">
        <f t="shared" ref="AL469:AL479" si="312">+SUMIF($C:$C,$V469,Q:Q)</f>
        <v>119566</v>
      </c>
      <c r="AM469" s="260"/>
      <c r="AN469" s="482">
        <f t="shared" si="307"/>
        <v>-81669</v>
      </c>
      <c r="AO469" s="261">
        <f>IF(AL469=0,0,AN469/AL469)</f>
        <v>-0.6830453473395447</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16"/>
        <v>Programme neuf 1</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309"/>
        <v>6561.4807420660518</v>
      </c>
      <c r="AA470" s="255"/>
      <c r="AB470" s="247"/>
      <c r="AC470" s="254">
        <f t="shared" si="310"/>
        <v>6561.4807420660518</v>
      </c>
      <c r="AD470" s="258"/>
      <c r="AE470" s="247"/>
      <c r="AF470" s="254">
        <f t="shared" si="311"/>
        <v>20000</v>
      </c>
      <c r="AG470" s="256"/>
      <c r="AH470" s="482">
        <f t="shared" si="306"/>
        <v>13438.519257933949</v>
      </c>
      <c r="AI470" s="257">
        <f t="shared" si="308"/>
        <v>2.0480924636079147</v>
      </c>
      <c r="AJ470" s="258"/>
      <c r="AK470" s="255"/>
      <c r="AL470" s="259">
        <f t="shared" si="312"/>
        <v>35157.39</v>
      </c>
      <c r="AM470" s="260"/>
      <c r="AN470" s="482">
        <f t="shared" si="307"/>
        <v>-15157.39</v>
      </c>
      <c r="AO470" s="261">
        <f t="shared" ref="AO470:AO472" si="313">IF(AL470=0,0,AN470/AL470)</f>
        <v>-0.43112955768332062</v>
      </c>
      <c r="AP470" s="79"/>
      <c r="AQ470" s="79" t="s">
        <v>2923</v>
      </c>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16"/>
        <v>Programme neuf 2</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309"/>
        <v>0</v>
      </c>
      <c r="AA471" s="255"/>
      <c r="AB471" s="247"/>
      <c r="AC471" s="254">
        <f t="shared" si="310"/>
        <v>0</v>
      </c>
      <c r="AD471" s="258"/>
      <c r="AE471" s="247"/>
      <c r="AF471" s="254">
        <f t="shared" si="311"/>
        <v>0</v>
      </c>
      <c r="AG471" s="256"/>
      <c r="AH471" s="482">
        <f t="shared" si="306"/>
        <v>0</v>
      </c>
      <c r="AI471" s="257">
        <f t="shared" si="308"/>
        <v>0</v>
      </c>
      <c r="AJ471" s="258"/>
      <c r="AK471" s="255"/>
      <c r="AL471" s="259">
        <f t="shared" si="312"/>
        <v>0</v>
      </c>
      <c r="AM471" s="260"/>
      <c r="AN471" s="482">
        <f t="shared" si="307"/>
        <v>0</v>
      </c>
      <c r="AO471" s="261">
        <f t="shared" si="31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16"/>
        <v>Programme neuf 3</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309"/>
        <v>0</v>
      </c>
      <c r="AA472" s="255"/>
      <c r="AB472" s="247"/>
      <c r="AC472" s="254">
        <f t="shared" si="310"/>
        <v>0</v>
      </c>
      <c r="AD472" s="258"/>
      <c r="AE472" s="247"/>
      <c r="AF472" s="254">
        <f t="shared" si="311"/>
        <v>0</v>
      </c>
      <c r="AG472" s="256"/>
      <c r="AH472" s="482">
        <f t="shared" si="306"/>
        <v>0</v>
      </c>
      <c r="AI472" s="257">
        <f t="shared" si="308"/>
        <v>0</v>
      </c>
      <c r="AJ472" s="258"/>
      <c r="AK472" s="255"/>
      <c r="AL472" s="259">
        <f t="shared" si="312"/>
        <v>0</v>
      </c>
      <c r="AM472" s="260"/>
      <c r="AN472" s="482">
        <f t="shared" si="307"/>
        <v>0</v>
      </c>
      <c r="AO472" s="261">
        <f t="shared" si="31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16"/>
        <v>Programme used 1</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309"/>
        <v>0</v>
      </c>
      <c r="AA473" s="255"/>
      <c r="AB473" s="247"/>
      <c r="AC473" s="254">
        <f t="shared" si="310"/>
        <v>0</v>
      </c>
      <c r="AD473" s="258"/>
      <c r="AE473" s="247"/>
      <c r="AF473" s="254">
        <f t="shared" si="311"/>
        <v>0</v>
      </c>
      <c r="AG473" s="256"/>
      <c r="AH473" s="482">
        <f t="shared" ref="AH473:AH478" si="314">AF473-AC473</f>
        <v>0</v>
      </c>
      <c r="AI473" s="257">
        <f t="shared" ref="AI473:AI475" si="315">IF(AH473=0,0,AH473/AC473)</f>
        <v>0</v>
      </c>
      <c r="AJ473" s="258"/>
      <c r="AK473" s="255"/>
      <c r="AL473" s="259">
        <f t="shared" si="312"/>
        <v>0</v>
      </c>
      <c r="AM473" s="260"/>
      <c r="AN473" s="482">
        <f t="shared" ref="AN473:AN475" si="316">AF473-AL473</f>
        <v>0</v>
      </c>
      <c r="AO473" s="261">
        <f t="shared" ref="AO473:AO475" si="31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16"/>
        <v>Programme used 2</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309"/>
        <v>0</v>
      </c>
      <c r="AA474" s="255"/>
      <c r="AB474" s="247"/>
      <c r="AC474" s="254">
        <f t="shared" si="310"/>
        <v>0</v>
      </c>
      <c r="AD474" s="258"/>
      <c r="AE474" s="247"/>
      <c r="AF474" s="254">
        <f t="shared" si="311"/>
        <v>0</v>
      </c>
      <c r="AG474" s="256"/>
      <c r="AH474" s="482">
        <f t="shared" si="314"/>
        <v>0</v>
      </c>
      <c r="AI474" s="257">
        <f t="shared" si="315"/>
        <v>0</v>
      </c>
      <c r="AJ474" s="258"/>
      <c r="AK474" s="255"/>
      <c r="AL474" s="259">
        <f t="shared" si="312"/>
        <v>0</v>
      </c>
      <c r="AM474" s="260"/>
      <c r="AN474" s="482">
        <f t="shared" si="316"/>
        <v>0</v>
      </c>
      <c r="AO474" s="261">
        <f t="shared" si="31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16"/>
        <v>Programme used 3</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309"/>
        <v>0</v>
      </c>
      <c r="AA475" s="255"/>
      <c r="AB475" s="247"/>
      <c r="AC475" s="254">
        <f t="shared" si="310"/>
        <v>0</v>
      </c>
      <c r="AD475" s="258"/>
      <c r="AE475" s="247"/>
      <c r="AF475" s="254">
        <f t="shared" si="311"/>
        <v>0</v>
      </c>
      <c r="AG475" s="256"/>
      <c r="AH475" s="482">
        <f t="shared" si="314"/>
        <v>0</v>
      </c>
      <c r="AI475" s="257">
        <f t="shared" si="315"/>
        <v>0</v>
      </c>
      <c r="AJ475" s="258"/>
      <c r="AK475" s="255"/>
      <c r="AL475" s="259">
        <f t="shared" si="312"/>
        <v>0</v>
      </c>
      <c r="AM475" s="260"/>
      <c r="AN475" s="482">
        <f t="shared" si="316"/>
        <v>0</v>
      </c>
      <c r="AO475" s="261">
        <f t="shared" si="31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tr">
        <f t="shared" si="216"/>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87">
        <f t="shared" ref="Z476:Z478" si="318">IFERROR(SUMIF($C:$C,$V476,F:F),0)</f>
        <v>0</v>
      </c>
      <c r="AA476" s="455"/>
      <c r="AB476" s="455"/>
      <c r="AC476" s="87">
        <f t="shared" ref="AC476:AC478" si="319">IFERROR(SUMIF($C:$C,$V476,I:I),0)</f>
        <v>0</v>
      </c>
      <c r="AD476" s="462"/>
      <c r="AE476" s="461"/>
      <c r="AF476" s="87">
        <f t="shared" ref="AF476:AF478" si="320">IFERROR(SUMIF($C:$C,$V476,L:L),0)</f>
        <v>0</v>
      </c>
      <c r="AG476" s="456"/>
      <c r="AH476" s="457">
        <f t="shared" si="314"/>
        <v>0</v>
      </c>
      <c r="AI476" s="458">
        <f t="shared" ref="AI476:AI478" si="321">IF(AC476=0,0,AH476/AC476)</f>
        <v>0</v>
      </c>
      <c r="AJ476" s="462"/>
      <c r="AK476" s="455"/>
      <c r="AL476" s="87">
        <f t="shared" ref="AL476:AL478" si="322">IFERROR(SUMIF($C:$C,$V476,Q:Q),0)</f>
        <v>0</v>
      </c>
      <c r="AM476" s="260"/>
      <c r="AN476" s="482">
        <f t="shared" ref="AN476:AN479" si="323">AF476-AL476</f>
        <v>0</v>
      </c>
      <c r="AO476" s="261">
        <f t="shared" ref="AO476:AO479" si="324">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tr">
        <f t="shared" si="216"/>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87">
        <f t="shared" si="318"/>
        <v>0</v>
      </c>
      <c r="AA477" s="455"/>
      <c r="AB477" s="455"/>
      <c r="AC477" s="87">
        <f t="shared" si="319"/>
        <v>0</v>
      </c>
      <c r="AD477" s="462"/>
      <c r="AE477" s="461"/>
      <c r="AF477" s="87">
        <f t="shared" si="320"/>
        <v>0</v>
      </c>
      <c r="AG477" s="456"/>
      <c r="AH477" s="457">
        <f t="shared" si="314"/>
        <v>0</v>
      </c>
      <c r="AI477" s="458">
        <f t="shared" si="321"/>
        <v>0</v>
      </c>
      <c r="AJ477" s="462"/>
      <c r="AK477" s="455"/>
      <c r="AL477" s="87">
        <f t="shared" si="322"/>
        <v>0</v>
      </c>
      <c r="AM477" s="260"/>
      <c r="AN477" s="482">
        <f t="shared" si="323"/>
        <v>0</v>
      </c>
      <c r="AO477" s="261">
        <f t="shared" si="324"/>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tr">
        <f t="shared" si="216"/>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87">
        <f t="shared" si="318"/>
        <v>0</v>
      </c>
      <c r="AA478" s="455"/>
      <c r="AB478" s="455"/>
      <c r="AC478" s="87">
        <f t="shared" si="319"/>
        <v>0</v>
      </c>
      <c r="AD478" s="462"/>
      <c r="AE478" s="461"/>
      <c r="AF478" s="87">
        <f t="shared" si="320"/>
        <v>0</v>
      </c>
      <c r="AG478" s="456"/>
      <c r="AH478" s="457">
        <f t="shared" si="314"/>
        <v>0</v>
      </c>
      <c r="AI478" s="458">
        <f t="shared" si="321"/>
        <v>0</v>
      </c>
      <c r="AJ478" s="462"/>
      <c r="AK478" s="455"/>
      <c r="AL478" s="87">
        <f t="shared" si="322"/>
        <v>0</v>
      </c>
      <c r="AM478" s="260"/>
      <c r="AN478" s="482">
        <f t="shared" si="323"/>
        <v>0</v>
      </c>
      <c r="AO478" s="261">
        <f t="shared" si="324"/>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16"/>
        <v>Frais administration</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309"/>
        <v>31816.87357352172</v>
      </c>
      <c r="AA479" s="255"/>
      <c r="AB479" s="247"/>
      <c r="AC479" s="254">
        <f t="shared" si="310"/>
        <v>31816.87357352172</v>
      </c>
      <c r="AD479" s="258"/>
      <c r="AE479" s="247"/>
      <c r="AF479" s="254">
        <f t="shared" si="311"/>
        <v>34411</v>
      </c>
      <c r="AG479" s="256"/>
      <c r="AH479" s="482">
        <f t="shared" ref="AH479:AH480" si="325">AF479-AC479</f>
        <v>2594.1264264782803</v>
      </c>
      <c r="AI479" s="257">
        <f>IF(AH479=0,0,AH479/AC479)</f>
        <v>8.1533040023050382E-2</v>
      </c>
      <c r="AJ479" s="258"/>
      <c r="AK479" s="255"/>
      <c r="AL479" s="259">
        <f t="shared" si="312"/>
        <v>34732</v>
      </c>
      <c r="AM479" s="260"/>
      <c r="AN479" s="482">
        <f t="shared" si="323"/>
        <v>-321</v>
      </c>
      <c r="AO479" s="261">
        <f t="shared" si="324"/>
        <v>-9.2421973972129454E-3</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16"/>
        <v>TOTAL AUTRES REVENUS</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0.16635323957294029</v>
      </c>
      <c r="Y480" s="103"/>
      <c r="Z480" s="90">
        <f>SUM(Z468:Z479)</f>
        <v>90126.672865983026</v>
      </c>
      <c r="AA480" s="89">
        <f>AC480/+AC406</f>
        <v>0.16635323957294029</v>
      </c>
      <c r="AB480" s="103"/>
      <c r="AC480" s="90">
        <f>SUM(AC468:AC479)</f>
        <v>90126.672865983026</v>
      </c>
      <c r="AD480" s="89">
        <f>AF480/+AF406</f>
        <v>0.15305760235448249</v>
      </c>
      <c r="AE480" s="103"/>
      <c r="AF480" s="90">
        <f>SUM(AF468:AF479)</f>
        <v>93390.47</v>
      </c>
      <c r="AG480" s="99"/>
      <c r="AH480" s="93">
        <f t="shared" si="325"/>
        <v>3263.7971340169752</v>
      </c>
      <c r="AI480" s="89">
        <f>AH480/AC480</f>
        <v>3.6213443037780735E-2</v>
      </c>
      <c r="AJ480" s="109"/>
      <c r="AK480" s="110"/>
      <c r="AL480" s="90">
        <f>SUM(AL468:AL479)</f>
        <v>190315.46000000002</v>
      </c>
      <c r="AM480" s="111"/>
      <c r="AN480" s="93">
        <f t="shared" ref="AN480:AN482" si="326">AF480-AL480</f>
        <v>-96924.99000000002</v>
      </c>
      <c r="AO480" s="636">
        <f>IF(AL480=0,0,AN480/AL480)</f>
        <v>-0.50928595081030203</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16"/>
        <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326"/>
        <v>0</v>
      </c>
      <c r="AO481" s="486">
        <f t="shared" ref="AO481" si="327">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16"/>
        <v>BAIIA OPÉRATIONNEL</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2.7670175040463298E-2</v>
      </c>
      <c r="Z482" s="491">
        <f>Z406-Z467+Z480</f>
        <v>70733.57863259122</v>
      </c>
      <c r="AA482" s="489" t="s">
        <v>258</v>
      </c>
      <c r="AB482" s="490">
        <f>AC482/AC405</f>
        <v>2.7670175040463298E-2</v>
      </c>
      <c r="AC482" s="491">
        <f>AC406-AC467+AC480</f>
        <v>70733.57863259122</v>
      </c>
      <c r="AD482" s="489" t="s">
        <v>258</v>
      </c>
      <c r="AE482" s="490">
        <f>AF482/AF405</f>
        <v>3.2550597255259626E-2</v>
      </c>
      <c r="AF482" s="217">
        <f>AF406-AF467+AF480</f>
        <v>167133.15999999995</v>
      </c>
      <c r="AG482" s="492"/>
      <c r="AH482" s="492">
        <f>AF482-AC482</f>
        <v>96399.581367408726</v>
      </c>
      <c r="AI482" s="546">
        <f>AH482/AC482</f>
        <v>1.3628545767227962</v>
      </c>
      <c r="AJ482" s="493" t="s">
        <v>258</v>
      </c>
      <c r="AK482" s="490">
        <f>IF($AL$405=0,0,AL482/$AL$405)</f>
        <v>2.1041065279780682E-2</v>
      </c>
      <c r="AL482" s="217">
        <f>AL406-AL467+AL480</f>
        <v>88069.470000000205</v>
      </c>
      <c r="AM482" s="218"/>
      <c r="AN482" s="217">
        <f t="shared" si="326"/>
        <v>79063.68999999974</v>
      </c>
      <c r="AO482" s="494">
        <f>IF(AL482=0,0,AN482/AL482)</f>
        <v>0.89774231637819046</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16"/>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328">+U484&amp;V484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Juillet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328"/>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328"/>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328"/>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328"/>
        <v>BAIIA OPÉRATIONNEL</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2.7670175040463298E-2</v>
      </c>
      <c r="Z488" s="499">
        <f>Z482</f>
        <v>70733.57863259122</v>
      </c>
      <c r="AA488" s="497" t="s">
        <v>258</v>
      </c>
      <c r="AB488" s="498">
        <f>AC488/AC405</f>
        <v>2.7670175040463298E-2</v>
      </c>
      <c r="AC488" s="499">
        <f>AC482</f>
        <v>70733.57863259122</v>
      </c>
      <c r="AD488" s="497" t="s">
        <v>258</v>
      </c>
      <c r="AE488" s="498">
        <f>AF488/AF405</f>
        <v>3.2550597255259626E-2</v>
      </c>
      <c r="AF488" s="499">
        <f>AF482</f>
        <v>167133.15999999995</v>
      </c>
      <c r="AG488" s="500"/>
      <c r="AH488" s="492">
        <f>AF488-AC488</f>
        <v>96399.581367408726</v>
      </c>
      <c r="AI488" s="546">
        <f>AH488/AC488</f>
        <v>1.3628545767227962</v>
      </c>
      <c r="AJ488" s="497" t="s">
        <v>258</v>
      </c>
      <c r="AK488" s="498">
        <f>IF($AL$405=0,0,AL488/$AL$405)</f>
        <v>2.1041065279780682E-2</v>
      </c>
      <c r="AL488" s="501">
        <f>AL482</f>
        <v>88069.470000000205</v>
      </c>
      <c r="AM488" s="502"/>
      <c r="AN488" s="503">
        <f>AF488-AL488</f>
        <v>79063.68999999974</v>
      </c>
      <c r="AO488" s="504">
        <f>IF(AL488=0,0,AN488/AL488)</f>
        <v>0.89774231637819046</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328"/>
        <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328"/>
        <v>Amortissement</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original'!$A$2:$AO$496,MATCH($A490,'Budget original'!$A$2:$A$496,0),MATCH(F$2,'Budget original'!$A$2:$AO$2,0))</f>
        <v>9167</v>
      </c>
      <c r="AA490" s="455"/>
      <c r="AB490" s="461"/>
      <c r="AC490" s="87">
        <f>+INDEX('Budget révisé'!$A$2:$AO$496,MATCH($A490,'Budget révisé'!$A$2:$A$496,0),MATCH(I$2,'Budget révisé'!$A$2:$AO$2,0))</f>
        <v>9167</v>
      </c>
      <c r="AD490" s="455"/>
      <c r="AE490" s="461"/>
      <c r="AF490" s="87">
        <f>SUMIFS(BV_Data_An_Cour!$O:$O,BV_Data_An_Cour!$V:$V,$V490)</f>
        <v>4314.5</v>
      </c>
      <c r="AG490" s="455"/>
      <c r="AH490" s="457">
        <f t="shared" ref="AH490:AH491" si="329">AF490-AC490</f>
        <v>-4852.5</v>
      </c>
      <c r="AI490" s="97">
        <f>IF(AC490=0,0,AH490/AC490)</f>
        <v>-0.529344387476819</v>
      </c>
      <c r="AJ490" s="455"/>
      <c r="AK490" s="455"/>
      <c r="AL490" s="87">
        <f>SUMIFS(BV_Data_An_Prec!$O:$O,BV_Data_An_Prec!$V:$V,$V490)</f>
        <v>9262</v>
      </c>
      <c r="AM490" s="459"/>
      <c r="AN490" s="457">
        <f t="shared" ref="AN490:AN491" si="330">AF490-AL490</f>
        <v>-4947.5</v>
      </c>
      <c r="AO490" s="214">
        <f>IF(AL490=0,0,AN490/AL490)</f>
        <v>-0.53417188512200386</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328"/>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original'!$A$2:$AO$496,MATCH($A491,'Budget original'!$A$2:$A$496,0),MATCH(F$2,'Budget original'!$A$2:$AO$2,0))</f>
        <v>456.25</v>
      </c>
      <c r="AA491" s="439"/>
      <c r="AB491" s="439"/>
      <c r="AC491" s="87">
        <f>+INDEX('Budget révisé'!$A$2:$AO$496,MATCH($A491,'Budget révisé'!$A$2:$A$496,0),MATCH(I$2,'Budget révisé'!$A$2:$AO$2,0))</f>
        <v>456.25</v>
      </c>
      <c r="AD491" s="439"/>
      <c r="AE491" s="178"/>
      <c r="AF491" s="254">
        <f>SUMIFS(BV_Data_An_Cour!$O:$O,BV_Data_An_Cour!$V:$V,$V491)</f>
        <v>896.96</v>
      </c>
      <c r="AG491" s="439"/>
      <c r="AH491" s="457">
        <f t="shared" si="329"/>
        <v>440.71000000000004</v>
      </c>
      <c r="AI491" s="97">
        <f t="shared" ref="AI491" si="331">IF(AC491=0,0,AH491/AC491)</f>
        <v>0.96593972602739731</v>
      </c>
      <c r="AJ491" s="439"/>
      <c r="AK491" s="439"/>
      <c r="AL491" s="87">
        <f>SUMIFS(BV_Data_An_Prec!$O:$O,BV_Data_An_Prec!$V:$V,$V491)</f>
        <v>0</v>
      </c>
      <c r="AM491" s="508"/>
      <c r="AN491" s="457">
        <f t="shared" si="330"/>
        <v>896.96</v>
      </c>
      <c r="AO491" s="214">
        <f t="shared" ref="AO491" si="332">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328"/>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original'!$A$2:$AO$496,MATCH($A492,'Budget original'!$A$2:$A$496,0),MATCH(F$2,'Budget original'!$A$2:$AO$2,0))</f>
        <v>571.72046114998614</v>
      </c>
      <c r="AA492" s="439"/>
      <c r="AB492" s="439"/>
      <c r="AC492" s="87">
        <f>+INDEX('Budget révisé'!$A$2:$AO$496,MATCH($A492,'Budget révisé'!$A$2:$A$496,0),MATCH(I$2,'Budget révisé'!$A$2:$AO$2,0))</f>
        <v>571.72046114998614</v>
      </c>
      <c r="AD492" s="439"/>
      <c r="AE492" s="178"/>
      <c r="AF492" s="87">
        <f>SUMIFS(BV_Data_An_Cour!$O:$O,BV_Data_An_Cour!$V:$V,$V492)</f>
        <v>570.58999999999992</v>
      </c>
      <c r="AG492" s="439"/>
      <c r="AH492" s="457">
        <f t="shared" ref="AH492:AH496" si="333">AF492-AC492</f>
        <v>-1.1304611499862176</v>
      </c>
      <c r="AI492" s="97">
        <f t="shared" ref="AI492:AI496" si="334">IF(AC492=0,0,AH492/AC492)</f>
        <v>-1.9772969953049317E-3</v>
      </c>
      <c r="AJ492" s="439"/>
      <c r="AK492" s="439"/>
      <c r="AL492" s="87">
        <f>SUMIFS(BV_Data_An_Prec!$O:$O,BV_Data_An_Prec!$V:$V,$V492)</f>
        <v>6054.64</v>
      </c>
      <c r="AM492" s="508"/>
      <c r="AN492" s="457">
        <f t="shared" ref="AN492:AN496" si="335">AF492-AL492</f>
        <v>-5484.05</v>
      </c>
      <c r="AO492" s="214">
        <f t="shared" ref="AO492:AO496" si="336">IF(AL492=0,0,AN492/AL492)</f>
        <v>-0.90575988002589747</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tr">
        <f t="shared" si="328"/>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original'!$A$2:$AO$496,MATCH($A493,'Budget original'!$A$2:$A$496,0),MATCH(F$2,'Budget original'!$A$2:$AO$2,0))</f>
        <v>0</v>
      </c>
      <c r="AA493" s="439"/>
      <c r="AB493" s="439"/>
      <c r="AC493" s="87">
        <f>+INDEX('Budget révisé'!$A$2:$AO$496,MATCH($A493,'Budget révisé'!$A$2:$A$496,0),MATCH(I$2,'Budget révisé'!$A$2:$AO$2,0))</f>
        <v>0</v>
      </c>
      <c r="AD493" s="439"/>
      <c r="AE493" s="178"/>
      <c r="AF493" s="87">
        <f>SUMIFS(BV_Data_An_Cour!$O:$O,BV_Data_An_Cour!$V:$V,$V493)</f>
        <v>0</v>
      </c>
      <c r="AG493" s="439"/>
      <c r="AH493" s="457">
        <f t="shared" si="333"/>
        <v>0</v>
      </c>
      <c r="AI493" s="97">
        <f t="shared" si="334"/>
        <v>0</v>
      </c>
      <c r="AJ493" s="439"/>
      <c r="AK493" s="439"/>
      <c r="AL493" s="87">
        <f>SUMIFS(BV_Data_An_Prec!$O:$O,BV_Data_An_Prec!$V:$V,$V493)</f>
        <v>0</v>
      </c>
      <c r="AM493" s="508"/>
      <c r="AN493" s="457">
        <f t="shared" si="335"/>
        <v>0</v>
      </c>
      <c r="AO493" s="214">
        <f t="shared" si="33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tr">
        <f t="shared" si="328"/>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 t="shared" ref="Z494:Z496" si="337">IFERROR(SUMIF($C:$C,$V494,F:F),0)</f>
        <v>0</v>
      </c>
      <c r="AA494" s="455"/>
      <c r="AB494" s="455"/>
      <c r="AC494" s="87">
        <f t="shared" ref="AC494:AC496" si="338">IFERROR(SUMIF($C:$C,$V494,I:I),0)</f>
        <v>0</v>
      </c>
      <c r="AD494" s="462"/>
      <c r="AE494" s="461"/>
      <c r="AF494" s="87">
        <f t="shared" ref="AF494:AF496" si="339">IFERROR(SUMIF($C:$C,$V494,L:L),0)</f>
        <v>0</v>
      </c>
      <c r="AG494" s="456"/>
      <c r="AH494" s="457">
        <f t="shared" si="333"/>
        <v>0</v>
      </c>
      <c r="AI494" s="458">
        <f t="shared" si="334"/>
        <v>0</v>
      </c>
      <c r="AJ494" s="462"/>
      <c r="AK494" s="455"/>
      <c r="AL494" s="87">
        <f t="shared" ref="AL494:AL496" si="340">IFERROR(SUMIF($C:$C,$V494,Q:Q),0)</f>
        <v>0</v>
      </c>
      <c r="AM494" s="508"/>
      <c r="AN494" s="457">
        <f t="shared" si="335"/>
        <v>0</v>
      </c>
      <c r="AO494" s="214">
        <f t="shared" si="33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tr">
        <f t="shared" si="328"/>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 t="shared" si="337"/>
        <v>0</v>
      </c>
      <c r="AA495" s="455"/>
      <c r="AB495" s="455"/>
      <c r="AC495" s="87">
        <f t="shared" si="338"/>
        <v>0</v>
      </c>
      <c r="AD495" s="462"/>
      <c r="AE495" s="461"/>
      <c r="AF495" s="87">
        <f t="shared" si="339"/>
        <v>0</v>
      </c>
      <c r="AG495" s="456"/>
      <c r="AH495" s="457">
        <f t="shared" si="333"/>
        <v>0</v>
      </c>
      <c r="AI495" s="458">
        <f t="shared" si="334"/>
        <v>0</v>
      </c>
      <c r="AJ495" s="462"/>
      <c r="AK495" s="455"/>
      <c r="AL495" s="87">
        <f t="shared" si="340"/>
        <v>0</v>
      </c>
      <c r="AM495" s="508"/>
      <c r="AN495" s="457">
        <f t="shared" si="335"/>
        <v>0</v>
      </c>
      <c r="AO495" s="214">
        <f t="shared" si="33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328"/>
        <v>[...]</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 t="shared" si="337"/>
        <v>0</v>
      </c>
      <c r="AA496" s="455"/>
      <c r="AB496" s="455"/>
      <c r="AC496" s="87">
        <f t="shared" si="338"/>
        <v>0</v>
      </c>
      <c r="AD496" s="462"/>
      <c r="AE496" s="461"/>
      <c r="AF496" s="87">
        <f t="shared" si="339"/>
        <v>0</v>
      </c>
      <c r="AG496" s="456"/>
      <c r="AH496" s="457">
        <f t="shared" si="333"/>
        <v>0</v>
      </c>
      <c r="AI496" s="458">
        <f t="shared" si="334"/>
        <v>0</v>
      </c>
      <c r="AJ496" s="462"/>
      <c r="AK496" s="455"/>
      <c r="AL496" s="87">
        <f t="shared" si="340"/>
        <v>0</v>
      </c>
      <c r="AM496" s="508"/>
      <c r="AN496" s="457">
        <f t="shared" si="335"/>
        <v>0</v>
      </c>
      <c r="AO496" s="214">
        <f t="shared" si="33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328"/>
        <v>Profit Net</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2.3682018034331079E-2</v>
      </c>
      <c r="Z497" s="491">
        <f>Z488-Z490-Z491-Z492-Z496</f>
        <v>60538.608171441236</v>
      </c>
      <c r="AA497" s="489" t="s">
        <v>258</v>
      </c>
      <c r="AB497" s="490">
        <f>AC497/AC405</f>
        <v>2.3682018034331079E-2</v>
      </c>
      <c r="AC497" s="491">
        <f>AC488-AC490-AC491-AC492-AC496</f>
        <v>60538.608171441236</v>
      </c>
      <c r="AD497" s="489" t="s">
        <v>258</v>
      </c>
      <c r="AE497" s="490">
        <f>AF497/AF405</f>
        <v>3.142449408782251E-2</v>
      </c>
      <c r="AF497" s="217">
        <f>AF488-AF490-AF491-AF492-AF496</f>
        <v>161351.10999999996</v>
      </c>
      <c r="AG497" s="492"/>
      <c r="AH497" s="492">
        <f>AF497-AC497</f>
        <v>100812.50182855871</v>
      </c>
      <c r="AI497" s="546">
        <f>AH497/AC497</f>
        <v>1.6652596561695727</v>
      </c>
      <c r="AJ497" s="493" t="s">
        <v>258</v>
      </c>
      <c r="AK497" s="490">
        <f>IF($AL$405=0,0,AL497/$AL$405)</f>
        <v>1.7381699303047778E-2</v>
      </c>
      <c r="AL497" s="217">
        <f>AL488-AL490-AL491-AL492-AL496</f>
        <v>72752.830000000205</v>
      </c>
      <c r="AM497" s="218"/>
      <c r="AN497" s="217">
        <f>AF497-AL497</f>
        <v>88598.279999999751</v>
      </c>
      <c r="AO497" s="509">
        <f>IF(AL497=0,0,AN497/AL497)</f>
        <v>1.2177984004196056</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341">+U498&amp;V498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v>60539</v>
      </c>
      <c r="AA500" s="79"/>
      <c r="AB500" s="79"/>
      <c r="AC500" s="101">
        <v>60539</v>
      </c>
      <c r="AD500" s="79"/>
      <c r="AE500" s="79"/>
      <c r="AF500" s="1105">
        <v>161351.10999999999</v>
      </c>
      <c r="AG500" s="79"/>
      <c r="AH500" s="79"/>
      <c r="AI500" s="79"/>
      <c r="AJ500" s="79"/>
      <c r="AK500" s="79"/>
      <c r="AL500" s="79">
        <v>72752.83</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-0.39182855876424583</v>
      </c>
      <c r="AA501" s="79"/>
      <c r="AB501" s="79"/>
      <c r="AC501" s="101">
        <f>AC497-AC500</f>
        <v>-0.39182855876424583</v>
      </c>
      <c r="AD501" s="79"/>
      <c r="AE501" s="79"/>
      <c r="AF501" s="127">
        <f>AF497-AF500</f>
        <v>0</v>
      </c>
      <c r="AG501" s="79"/>
      <c r="AH501" s="79"/>
      <c r="AI501" s="79"/>
      <c r="AJ501" s="79"/>
      <c r="AK501" s="79"/>
      <c r="AL501" s="127">
        <f>AL497-AL500</f>
        <v>2.0372681319713593E-10</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K291 H168:I168 K168 J168:J19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6 K178:L179 K181:L181 K184:L186 K183 K188:L189 H312:L315 L182 K306:K307 K311 K191:L195 L190 J101:K103 H135:H136 J135:K136 H155:H156 J155:K156 H172:I173 H175:I176 H178:I179 H181:I182 H188:I189 H191:I195 H364:H375 J364:K375 H284:L284 J18:J24 J49:L54 L173 L6:L14 J31:K48 J111:K120 J122:K133 H105:H133 L125:L129 O122:P133 Q125:Q129 H225:H228 J225:K228 H281:H283 L275:L283 J294:K302 L319:L324 J317:K347 H317:H347 J253:K274 H253:H274 H197:H218 J197:K218 H184:I186 J25:L30">
    <cfRule type="expression" dxfId="705" priority="589" stopIfTrue="1">
      <formula>"esterreur(reference)"</formula>
    </cfRule>
  </conditionalFormatting>
  <conditionalFormatting sqref="M95:M96">
    <cfRule type="expression" dxfId="704" priority="590" stopIfTrue="1">
      <formula>"esterreur(reference)"</formula>
    </cfRule>
  </conditionalFormatting>
  <conditionalFormatting sqref="H275:H280 J275:K280">
    <cfRule type="expression" dxfId="703" priority="591" stopIfTrue="1">
      <formula>"esterreur(reference)"</formula>
    </cfRule>
  </conditionalFormatting>
  <conditionalFormatting sqref="H219:H224 J219:K224">
    <cfRule type="expression" dxfId="702" priority="592" stopIfTrue="1">
      <formula>"esterreur(reference)"</formula>
    </cfRule>
  </conditionalFormatting>
  <conditionalFormatting sqref="H141:H147 J141:K147">
    <cfRule type="expression" dxfId="701" priority="593" stopIfTrue="1">
      <formula>"esterreur(reference)"</formula>
    </cfRule>
  </conditionalFormatting>
  <conditionalFormatting sqref="H137:H139 J137:K139">
    <cfRule type="expression" dxfId="700" priority="594" stopIfTrue="1">
      <formula>"esterreur(reference)"</formula>
    </cfRule>
  </conditionalFormatting>
  <conditionalFormatting sqref="H140 J140:K140">
    <cfRule type="expression" dxfId="699" priority="595" stopIfTrue="1">
      <formula>"esterreur(reference)"</formula>
    </cfRule>
  </conditionalFormatting>
  <conditionalFormatting sqref="L82">
    <cfRule type="expression" dxfId="698" priority="536" stopIfTrue="1">
      <formula>"esterreur(reference)"</formula>
    </cfRule>
  </conditionalFormatting>
  <conditionalFormatting sqref="M311">
    <cfRule type="expression" dxfId="697" priority="597" stopIfTrue="1">
      <formula>"esterreur(reference)"</formula>
    </cfRule>
  </conditionalFormatting>
  <conditionalFormatting sqref="R311">
    <cfRule type="expression" dxfId="696" priority="598" stopIfTrue="1">
      <formula>"esterreur(reference)"</formula>
    </cfRule>
  </conditionalFormatting>
  <conditionalFormatting sqref="AG408:AI413 AH490:AI490 AH465:AI467 AH452:AI459 AH432:AI447 AH460:AH461 AI491:AI493 AH419:AI423 AH427:AI430 AI424:AI426">
    <cfRule type="cellIs" dxfId="695" priority="599" operator="greaterThan">
      <formula>0</formula>
    </cfRule>
  </conditionalFormatting>
  <conditionalFormatting sqref="AH468:AI475 AH479:AI479">
    <cfRule type="cellIs" dxfId="694" priority="600" operator="lessThan">
      <formula>0</formula>
    </cfRule>
  </conditionalFormatting>
  <conditionalFormatting sqref="AH491:AH493">
    <cfRule type="cellIs" dxfId="693" priority="603" operator="greaterThan">
      <formula>0</formula>
    </cfRule>
  </conditionalFormatting>
  <conditionalFormatting sqref="J281:K283">
    <cfRule type="expression" dxfId="692" priority="607" stopIfTrue="1">
      <formula>"esterreur(reference)"</formula>
    </cfRule>
  </conditionalFormatting>
  <conditionalFormatting sqref="K356 J356:J357 H356:I356 L355:L356 H358:L358">
    <cfRule type="expression" dxfId="691" priority="611" stopIfTrue="1">
      <formula>"esterreur(reference)"</formula>
    </cfRule>
  </conditionalFormatting>
  <conditionalFormatting sqref="H396">
    <cfRule type="expression" dxfId="690" priority="612" stopIfTrue="1">
      <formula>"esterreur(reference)"</formula>
    </cfRule>
  </conditionalFormatting>
  <conditionalFormatting sqref="I376:L376 H377:H392 J377:K392">
    <cfRule type="expression" dxfId="689" priority="613" stopIfTrue="1">
      <formula>"esterreur(reference)"</formula>
    </cfRule>
  </conditionalFormatting>
  <conditionalFormatting sqref="H397:L398 I396:L396 H395:L395 H393:H394 J393:K393">
    <cfRule type="expression" dxfId="688" priority="614" stopIfTrue="1">
      <formula>"esterreur(reference)"</formula>
    </cfRule>
  </conditionalFormatting>
  <conditionalFormatting sqref="H360:L362 H359 K359">
    <cfRule type="expression" dxfId="687" priority="615" stopIfTrue="1">
      <formula>"esterreur(reference)"</formula>
    </cfRule>
  </conditionalFormatting>
  <conditionalFormatting sqref="K394">
    <cfRule type="expression" dxfId="686" priority="616" stopIfTrue="1">
      <formula>"esterreur(reference)"</formula>
    </cfRule>
  </conditionalFormatting>
  <conditionalFormatting sqref="H316:L316">
    <cfRule type="expression" dxfId="685" priority="620" stopIfTrue="1">
      <formula>"esterreur(reference)"</formula>
    </cfRule>
  </conditionalFormatting>
  <conditionalFormatting sqref="H196:L196">
    <cfRule type="expression" dxfId="684" priority="621" stopIfTrue="1">
      <formula>"esterreur(reference)"</formula>
    </cfRule>
  </conditionalFormatting>
  <conditionalFormatting sqref="J55:K56 J71:K71">
    <cfRule type="expression" dxfId="683" priority="626" stopIfTrue="1">
      <formula>"esterreur(reference)"</formula>
    </cfRule>
  </conditionalFormatting>
  <conditionalFormatting sqref="J61:K70">
    <cfRule type="expression" dxfId="682" priority="627" stopIfTrue="1">
      <formula>"esterreur(reference)"</formula>
    </cfRule>
  </conditionalFormatting>
  <conditionalFormatting sqref="J57:K59">
    <cfRule type="expression" dxfId="681" priority="628" stopIfTrue="1">
      <formula>"esterreur(reference)"</formula>
    </cfRule>
  </conditionalFormatting>
  <conditionalFormatting sqref="J60:K60">
    <cfRule type="expression" dxfId="680" priority="629" stopIfTrue="1">
      <formula>"esterreur(reference)"</formula>
    </cfRule>
  </conditionalFormatting>
  <conditionalFormatting sqref="L19 L21:L23">
    <cfRule type="expression" dxfId="679" priority="585" stopIfTrue="1">
      <formula>"esterreur(reference)"</formula>
    </cfRule>
  </conditionalFormatting>
  <conditionalFormatting sqref="K98">
    <cfRule type="expression" dxfId="678" priority="631" stopIfTrue="1">
      <formula>"esterreur(reference)"</formula>
    </cfRule>
  </conditionalFormatting>
  <conditionalFormatting sqref="L331:L347">
    <cfRule type="expression" dxfId="677" priority="411" stopIfTrue="1">
      <formula>"esterreur(reference)"</formula>
    </cfRule>
  </conditionalFormatting>
  <conditionalFormatting sqref="L16:L17">
    <cfRule type="expression" dxfId="676" priority="587" stopIfTrue="1">
      <formula>"esterreur(reference)"</formula>
    </cfRule>
  </conditionalFormatting>
  <conditionalFormatting sqref="L20">
    <cfRule type="expression" dxfId="675" priority="582" stopIfTrue="1">
      <formula>"esterreur(reference)"</formula>
    </cfRule>
  </conditionalFormatting>
  <conditionalFormatting sqref="L325">
    <cfRule type="expression" dxfId="674" priority="416" stopIfTrue="1">
      <formula>"esterreur(reference)"</formula>
    </cfRule>
  </conditionalFormatting>
  <conditionalFormatting sqref="L326">
    <cfRule type="expression" dxfId="673" priority="415" stopIfTrue="1">
      <formula>"esterreur(reference)"</formula>
    </cfRule>
  </conditionalFormatting>
  <conditionalFormatting sqref="L327">
    <cfRule type="expression" dxfId="672" priority="414" stopIfTrue="1">
      <formula>"esterreur(reference)"</formula>
    </cfRule>
  </conditionalFormatting>
  <conditionalFormatting sqref="L328">
    <cfRule type="expression" dxfId="671" priority="413" stopIfTrue="1">
      <formula>"esterreur(reference)"</formula>
    </cfRule>
  </conditionalFormatting>
  <conditionalFormatting sqref="L42">
    <cfRule type="expression" dxfId="670" priority="566" stopIfTrue="1">
      <formula>"esterreur(reference)"</formula>
    </cfRule>
  </conditionalFormatting>
  <conditionalFormatting sqref="L43">
    <cfRule type="expression" dxfId="669" priority="565" stopIfTrue="1">
      <formula>"esterreur(reference)"</formula>
    </cfRule>
  </conditionalFormatting>
  <conditionalFormatting sqref="L44">
    <cfRule type="expression" dxfId="668" priority="564" stopIfTrue="1">
      <formula>"esterreur(reference)"</formula>
    </cfRule>
  </conditionalFormatting>
  <conditionalFormatting sqref="L45:L48">
    <cfRule type="expression" dxfId="667" priority="563" stopIfTrue="1">
      <formula>"esterreur(reference)"</formula>
    </cfRule>
  </conditionalFormatting>
  <conditionalFormatting sqref="L55">
    <cfRule type="expression" dxfId="666" priority="557" stopIfTrue="1">
      <formula>"esterreur(reference)"</formula>
    </cfRule>
  </conditionalFormatting>
  <conditionalFormatting sqref="L56">
    <cfRule type="expression" dxfId="665" priority="556" stopIfTrue="1">
      <formula>"esterreur(reference)"</formula>
    </cfRule>
  </conditionalFormatting>
  <conditionalFormatting sqref="L271">
    <cfRule type="expression" dxfId="664" priority="431" stopIfTrue="1">
      <formula>"esterreur(reference)"</formula>
    </cfRule>
  </conditionalFormatting>
  <conditionalFormatting sqref="L58">
    <cfRule type="expression" dxfId="663" priority="554" stopIfTrue="1">
      <formula>"esterreur(reference)"</formula>
    </cfRule>
  </conditionalFormatting>
  <conditionalFormatting sqref="L61">
    <cfRule type="expression" dxfId="662" priority="551" stopIfTrue="1">
      <formula>"esterreur(reference)"</formula>
    </cfRule>
  </conditionalFormatting>
  <conditionalFormatting sqref="L274">
    <cfRule type="expression" dxfId="661" priority="429" stopIfTrue="1">
      <formula>"esterreur(reference)"</formula>
    </cfRule>
  </conditionalFormatting>
  <conditionalFormatting sqref="L63">
    <cfRule type="expression" dxfId="660" priority="550" stopIfTrue="1">
      <formula>"esterreur(reference)"</formula>
    </cfRule>
  </conditionalFormatting>
  <conditionalFormatting sqref="L62">
    <cfRule type="expression" dxfId="659" priority="549" stopIfTrue="1">
      <formula>"esterreur(reference)"</formula>
    </cfRule>
  </conditionalFormatting>
  <conditionalFormatting sqref="L64">
    <cfRule type="expression" dxfId="658" priority="548" stopIfTrue="1">
      <formula>"esterreur(reference)"</formula>
    </cfRule>
  </conditionalFormatting>
  <conditionalFormatting sqref="L65">
    <cfRule type="expression" dxfId="657" priority="547" stopIfTrue="1">
      <formula>"esterreur(reference)"</formula>
    </cfRule>
  </conditionalFormatting>
  <conditionalFormatting sqref="L69 L66:L67">
    <cfRule type="expression" dxfId="656" priority="546" stopIfTrue="1">
      <formula>"esterreur(reference)"</formula>
    </cfRule>
  </conditionalFormatting>
  <conditionalFormatting sqref="L70">
    <cfRule type="expression" dxfId="655" priority="545" stopIfTrue="1">
      <formula>"esterreur(reference)"</formula>
    </cfRule>
  </conditionalFormatting>
  <conditionalFormatting sqref="L76:L77">
    <cfRule type="expression" dxfId="654" priority="541" stopIfTrue="1">
      <formula>"esterreur(reference)"</formula>
    </cfRule>
  </conditionalFormatting>
  <conditionalFormatting sqref="L78:L81">
    <cfRule type="expression" dxfId="653" priority="540" stopIfTrue="1">
      <formula>"esterreur(reference)"</formula>
    </cfRule>
  </conditionalFormatting>
  <conditionalFormatting sqref="L57">
    <cfRule type="expression" dxfId="652" priority="531" stopIfTrue="1">
      <formula>"esterreur(reference)"</formula>
    </cfRule>
  </conditionalFormatting>
  <conditionalFormatting sqref="L94:L95">
    <cfRule type="expression" dxfId="651" priority="529" stopIfTrue="1">
      <formula>"esterreur(reference)"</formula>
    </cfRule>
  </conditionalFormatting>
  <conditionalFormatting sqref="L98">
    <cfRule type="expression" dxfId="650" priority="528" stopIfTrue="1">
      <formula>"esterreur(reference)"</formula>
    </cfRule>
  </conditionalFormatting>
  <conditionalFormatting sqref="L99">
    <cfRule type="expression" dxfId="649" priority="527" stopIfTrue="1">
      <formula>"esterreur(reference)"</formula>
    </cfRule>
  </conditionalFormatting>
  <conditionalFormatting sqref="L101">
    <cfRule type="expression" dxfId="648" priority="526" stopIfTrue="1">
      <formula>"esterreur(reference)"</formula>
    </cfRule>
  </conditionalFormatting>
  <conditionalFormatting sqref="L102">
    <cfRule type="expression" dxfId="647" priority="525" stopIfTrue="1">
      <formula>"esterreur(reference)"</formula>
    </cfRule>
  </conditionalFormatting>
  <conditionalFormatting sqref="L103">
    <cfRule type="expression" dxfId="646" priority="523" stopIfTrue="1">
      <formula>"esterreur(reference)"</formula>
    </cfRule>
  </conditionalFormatting>
  <conditionalFormatting sqref="L111">
    <cfRule type="expression" dxfId="645" priority="522" stopIfTrue="1">
      <formula>"esterreur(reference)"</formula>
    </cfRule>
  </conditionalFormatting>
  <conditionalFormatting sqref="L112">
    <cfRule type="expression" dxfId="644" priority="521" stopIfTrue="1">
      <formula>"esterreur(reference)"</formula>
    </cfRule>
  </conditionalFormatting>
  <conditionalFormatting sqref="L207">
    <cfRule type="expression" dxfId="643" priority="457" stopIfTrue="1">
      <formula>"esterreur(reference)"</formula>
    </cfRule>
  </conditionalFormatting>
  <conditionalFormatting sqref="L114">
    <cfRule type="expression" dxfId="642" priority="519" stopIfTrue="1">
      <formula>"esterreur(reference)"</formula>
    </cfRule>
  </conditionalFormatting>
  <conditionalFormatting sqref="L227">
    <cfRule type="expression" dxfId="641" priority="453" stopIfTrue="1">
      <formula>"esterreur(reference)"</formula>
    </cfRule>
  </conditionalFormatting>
  <conditionalFormatting sqref="L116:L119">
    <cfRule type="expression" dxfId="640" priority="517" stopIfTrue="1">
      <formula>"esterreur(reference)"</formula>
    </cfRule>
  </conditionalFormatting>
  <conditionalFormatting sqref="L120">
    <cfRule type="expression" dxfId="639" priority="516" stopIfTrue="1">
      <formula>"esterreur(reference)"</formula>
    </cfRule>
  </conditionalFormatting>
  <conditionalFormatting sqref="L130">
    <cfRule type="expression" dxfId="638" priority="504" stopIfTrue="1">
      <formula>"esterreur(reference)"</formula>
    </cfRule>
  </conditionalFormatting>
  <conditionalFormatting sqref="L124">
    <cfRule type="expression" dxfId="637" priority="511" stopIfTrue="1">
      <formula>"esterreur(reference)"</formula>
    </cfRule>
  </conditionalFormatting>
  <conditionalFormatting sqref="L123">
    <cfRule type="expression" dxfId="636" priority="509" stopIfTrue="1">
      <formula>"esterreur(reference)"</formula>
    </cfRule>
  </conditionalFormatting>
  <conditionalFormatting sqref="L138">
    <cfRule type="expression" dxfId="635" priority="497" stopIfTrue="1">
      <formula>"esterreur(reference)"</formula>
    </cfRule>
  </conditionalFormatting>
  <conditionalFormatting sqref="L131">
    <cfRule type="expression" dxfId="634" priority="503" stopIfTrue="1">
      <formula>"esterreur(reference)"</formula>
    </cfRule>
  </conditionalFormatting>
  <conditionalFormatting sqref="L132">
    <cfRule type="expression" dxfId="633" priority="502" stopIfTrue="1">
      <formula>"esterreur(reference)"</formula>
    </cfRule>
  </conditionalFormatting>
  <conditionalFormatting sqref="L133">
    <cfRule type="expression" dxfId="632" priority="501" stopIfTrue="1">
      <formula>"esterreur(reference)"</formula>
    </cfRule>
  </conditionalFormatting>
  <conditionalFormatting sqref="L139">
    <cfRule type="expression" dxfId="631" priority="496" stopIfTrue="1">
      <formula>"esterreur(reference)"</formula>
    </cfRule>
  </conditionalFormatting>
  <conditionalFormatting sqref="L136">
    <cfRule type="expression" dxfId="630" priority="499" stopIfTrue="1">
      <formula>"esterreur(reference)"</formula>
    </cfRule>
  </conditionalFormatting>
  <conditionalFormatting sqref="L137">
    <cfRule type="expression" dxfId="629" priority="498" stopIfTrue="1">
      <formula>"esterreur(reference)"</formula>
    </cfRule>
  </conditionalFormatting>
  <conditionalFormatting sqref="L140">
    <cfRule type="expression" dxfId="628" priority="495" stopIfTrue="1">
      <formula>"esterreur(reference)"</formula>
    </cfRule>
  </conditionalFormatting>
  <conditionalFormatting sqref="L141">
    <cfRule type="expression" dxfId="627" priority="494" stopIfTrue="1">
      <formula>"esterreur(reference)"</formula>
    </cfRule>
  </conditionalFormatting>
  <conditionalFormatting sqref="L142">
    <cfRule type="expression" dxfId="626" priority="493" stopIfTrue="1">
      <formula>"esterreur(reference)"</formula>
    </cfRule>
  </conditionalFormatting>
  <conditionalFormatting sqref="L143">
    <cfRule type="expression" dxfId="625" priority="492" stopIfTrue="1">
      <formula>"esterreur(reference)"</formula>
    </cfRule>
  </conditionalFormatting>
  <conditionalFormatting sqref="L144">
    <cfRule type="expression" dxfId="624" priority="491" stopIfTrue="1">
      <formula>"esterreur(reference)"</formula>
    </cfRule>
  </conditionalFormatting>
  <conditionalFormatting sqref="L145">
    <cfRule type="expression" dxfId="623" priority="490" stopIfTrue="1">
      <formula>"esterreur(reference)"</formula>
    </cfRule>
  </conditionalFormatting>
  <conditionalFormatting sqref="L146">
    <cfRule type="expression" dxfId="622" priority="489" stopIfTrue="1">
      <formula>"esterreur(reference)"</formula>
    </cfRule>
  </conditionalFormatting>
  <conditionalFormatting sqref="L147">
    <cfRule type="expression" dxfId="621" priority="488" stopIfTrue="1">
      <formula>"esterreur(reference)"</formula>
    </cfRule>
  </conditionalFormatting>
  <conditionalFormatting sqref="L155">
    <cfRule type="expression" dxfId="620" priority="483" stopIfTrue="1">
      <formula>"esterreur(reference)"</formula>
    </cfRule>
  </conditionalFormatting>
  <conditionalFormatting sqref="L157">
    <cfRule type="expression" dxfId="619" priority="481" stopIfTrue="1">
      <formula>"esterreur(reference)"</formula>
    </cfRule>
  </conditionalFormatting>
  <conditionalFormatting sqref="L156">
    <cfRule type="expression" dxfId="618" priority="482" stopIfTrue="1">
      <formula>"esterreur(reference)"</formula>
    </cfRule>
  </conditionalFormatting>
  <conditionalFormatting sqref="L115">
    <cfRule type="expression" dxfId="617" priority="474" stopIfTrue="1">
      <formula>"esterreur(reference)"</formula>
    </cfRule>
  </conditionalFormatting>
  <conditionalFormatting sqref="L113">
    <cfRule type="expression" dxfId="616" priority="473" stopIfTrue="1">
      <formula>"esterreur(reference)"</formula>
    </cfRule>
  </conditionalFormatting>
  <conditionalFormatting sqref="L171">
    <cfRule type="expression" dxfId="615" priority="472" stopIfTrue="1">
      <formula>"esterreur(reference)"</formula>
    </cfRule>
  </conditionalFormatting>
  <conditionalFormatting sqref="L174">
    <cfRule type="expression" dxfId="614" priority="471" stopIfTrue="1">
      <formula>"esterreur(reference)"</formula>
    </cfRule>
  </conditionalFormatting>
  <conditionalFormatting sqref="L177">
    <cfRule type="expression" dxfId="613" priority="470" stopIfTrue="1">
      <formula>"esterreur(reference)"</formula>
    </cfRule>
  </conditionalFormatting>
  <conditionalFormatting sqref="L187">
    <cfRule type="expression" dxfId="612" priority="467" stopIfTrue="1">
      <formula>"esterreur(reference)"</formula>
    </cfRule>
  </conditionalFormatting>
  <conditionalFormatting sqref="L197">
    <cfRule type="expression" dxfId="611" priority="466" stopIfTrue="1">
      <formula>"esterreur(reference)"</formula>
    </cfRule>
  </conditionalFormatting>
  <conditionalFormatting sqref="L199">
    <cfRule type="expression" dxfId="610" priority="465" stopIfTrue="1">
      <formula>"esterreur(reference)"</formula>
    </cfRule>
  </conditionalFormatting>
  <conditionalFormatting sqref="L198">
    <cfRule type="expression" dxfId="609" priority="464" stopIfTrue="1">
      <formula>"esterreur(reference)"</formula>
    </cfRule>
  </conditionalFormatting>
  <conditionalFormatting sqref="L200">
    <cfRule type="expression" dxfId="608" priority="463" stopIfTrue="1">
      <formula>"esterreur(reference)"</formula>
    </cfRule>
  </conditionalFormatting>
  <conditionalFormatting sqref="L201">
    <cfRule type="expression" dxfId="607" priority="462" stopIfTrue="1">
      <formula>"esterreur(reference)"</formula>
    </cfRule>
  </conditionalFormatting>
  <conditionalFormatting sqref="L202:L204">
    <cfRule type="expression" dxfId="606" priority="461" stopIfTrue="1">
      <formula>"esterreur(reference)"</formula>
    </cfRule>
  </conditionalFormatting>
  <conditionalFormatting sqref="L206">
    <cfRule type="expression" dxfId="605" priority="458" stopIfTrue="1">
      <formula>"esterreur(reference)"</formula>
    </cfRule>
  </conditionalFormatting>
  <conditionalFormatting sqref="L205">
    <cfRule type="expression" dxfId="604" priority="459" stopIfTrue="1">
      <formula>"esterreur(reference)"</formula>
    </cfRule>
  </conditionalFormatting>
  <conditionalFormatting sqref="L208">
    <cfRule type="expression" dxfId="603" priority="456" stopIfTrue="1">
      <formula>"esterreur(reference)"</formula>
    </cfRule>
  </conditionalFormatting>
  <conditionalFormatting sqref="L211:L224">
    <cfRule type="expression" dxfId="602" priority="455" stopIfTrue="1">
      <formula>"esterreur(reference)"</formula>
    </cfRule>
  </conditionalFormatting>
  <conditionalFormatting sqref="L225:L226">
    <cfRule type="expression" dxfId="601" priority="454" stopIfTrue="1">
      <formula>"esterreur(reference)"</formula>
    </cfRule>
  </conditionalFormatting>
  <conditionalFormatting sqref="L180">
    <cfRule type="expression" dxfId="600" priority="451" stopIfTrue="1">
      <formula>"esterreur(reference)"</formula>
    </cfRule>
  </conditionalFormatting>
  <conditionalFormatting sqref="L243">
    <cfRule type="expression" dxfId="599" priority="449" stopIfTrue="1">
      <formula>"esterreur(reference)"</formula>
    </cfRule>
  </conditionalFormatting>
  <conditionalFormatting sqref="L246">
    <cfRule type="expression" dxfId="598" priority="448" stopIfTrue="1">
      <formula>"esterreur(reference)"</formula>
    </cfRule>
  </conditionalFormatting>
  <conditionalFormatting sqref="L253">
    <cfRule type="expression" dxfId="597" priority="447" stopIfTrue="1">
      <formula>"esterreur(reference)"</formula>
    </cfRule>
  </conditionalFormatting>
  <conditionalFormatting sqref="L254">
    <cfRule type="expression" dxfId="596" priority="446" stopIfTrue="1">
      <formula>"esterreur(reference)"</formula>
    </cfRule>
  </conditionalFormatting>
  <conditionalFormatting sqref="L255">
    <cfRule type="expression" dxfId="595" priority="445" stopIfTrue="1">
      <formula>"esterreur(reference)"</formula>
    </cfRule>
  </conditionalFormatting>
  <conditionalFormatting sqref="L256">
    <cfRule type="expression" dxfId="594" priority="444" stopIfTrue="1">
      <formula>"esterreur(reference)"</formula>
    </cfRule>
  </conditionalFormatting>
  <conditionalFormatting sqref="L257">
    <cfRule type="expression" dxfId="593" priority="443" stopIfTrue="1">
      <formula>"esterreur(reference)"</formula>
    </cfRule>
  </conditionalFormatting>
  <conditionalFormatting sqref="L258">
    <cfRule type="expression" dxfId="592" priority="442" stopIfTrue="1">
      <formula>"esterreur(reference)"</formula>
    </cfRule>
  </conditionalFormatting>
  <conditionalFormatting sqref="L259">
    <cfRule type="expression" dxfId="591" priority="441" stopIfTrue="1">
      <formula>"esterreur(reference)"</formula>
    </cfRule>
  </conditionalFormatting>
  <conditionalFormatting sqref="L260">
    <cfRule type="expression" dxfId="590" priority="440" stopIfTrue="1">
      <formula>"esterreur(reference)"</formula>
    </cfRule>
  </conditionalFormatting>
  <conditionalFormatting sqref="L261">
    <cfRule type="expression" dxfId="589" priority="439" stopIfTrue="1">
      <formula>"esterreur(reference)"</formula>
    </cfRule>
  </conditionalFormatting>
  <conditionalFormatting sqref="L262">
    <cfRule type="expression" dxfId="588" priority="438" stopIfTrue="1">
      <formula>"esterreur(reference)"</formula>
    </cfRule>
  </conditionalFormatting>
  <conditionalFormatting sqref="L263:L264">
    <cfRule type="expression" dxfId="587" priority="437" stopIfTrue="1">
      <formula>"esterreur(reference)"</formula>
    </cfRule>
  </conditionalFormatting>
  <conditionalFormatting sqref="L268">
    <cfRule type="expression" dxfId="586" priority="434" stopIfTrue="1">
      <formula>"esterreur(reference)"</formula>
    </cfRule>
  </conditionalFormatting>
  <conditionalFormatting sqref="L267">
    <cfRule type="expression" dxfId="585" priority="435" stopIfTrue="1">
      <formula>"esterreur(reference)"</formula>
    </cfRule>
  </conditionalFormatting>
  <conditionalFormatting sqref="L269">
    <cfRule type="expression" dxfId="584" priority="433" stopIfTrue="1">
      <formula>"esterreur(reference)"</formula>
    </cfRule>
  </conditionalFormatting>
  <conditionalFormatting sqref="L270">
    <cfRule type="expression" dxfId="583" priority="432" stopIfTrue="1">
      <formula>"esterreur(reference)"</formula>
    </cfRule>
  </conditionalFormatting>
  <conditionalFormatting sqref="L272:L273">
    <cfRule type="expression" dxfId="582" priority="430" stopIfTrue="1">
      <formula>"esterreur(reference)"</formula>
    </cfRule>
  </conditionalFormatting>
  <conditionalFormatting sqref="L294:L300">
    <cfRule type="expression" dxfId="581" priority="425" stopIfTrue="1">
      <formula>"esterreur(reference)"</formula>
    </cfRule>
  </conditionalFormatting>
  <conditionalFormatting sqref="L301">
    <cfRule type="expression" dxfId="580" priority="424" stopIfTrue="1">
      <formula>"esterreur(reference)"</formula>
    </cfRule>
  </conditionalFormatting>
  <conditionalFormatting sqref="L302">
    <cfRule type="expression" dxfId="579" priority="423" stopIfTrue="1">
      <formula>"esterreur(reference)"</formula>
    </cfRule>
  </conditionalFormatting>
  <conditionalFormatting sqref="L306">
    <cfRule type="expression" dxfId="578" priority="422" stopIfTrue="1">
      <formula>"esterreur(reference)"</formula>
    </cfRule>
  </conditionalFormatting>
  <conditionalFormatting sqref="L307">
    <cfRule type="expression" dxfId="577" priority="421" stopIfTrue="1">
      <formula>"esterreur(reference)"</formula>
    </cfRule>
  </conditionalFormatting>
  <conditionalFormatting sqref="L311">
    <cfRule type="expression" dxfId="576" priority="420" stopIfTrue="1">
      <formula>"esterreur(reference)"</formula>
    </cfRule>
  </conditionalFormatting>
  <conditionalFormatting sqref="L317">
    <cfRule type="expression" dxfId="575" priority="419" stopIfTrue="1">
      <formula>"esterreur(reference)"</formula>
    </cfRule>
  </conditionalFormatting>
  <conditionalFormatting sqref="L318">
    <cfRule type="expression" dxfId="574" priority="418" stopIfTrue="1">
      <formula>"esterreur(reference)"</formula>
    </cfRule>
  </conditionalFormatting>
  <conditionalFormatting sqref="K5">
    <cfRule type="expression" dxfId="573" priority="409" stopIfTrue="1">
      <formula>"esterreur(reference)"</formula>
    </cfRule>
  </conditionalFormatting>
  <conditionalFormatting sqref="L5">
    <cfRule type="expression" dxfId="572" priority="407" stopIfTrue="1">
      <formula>"esterreur(reference)"</formula>
    </cfRule>
  </conditionalFormatting>
  <conditionalFormatting sqref="K182">
    <cfRule type="expression" dxfId="571" priority="398" stopIfTrue="1">
      <formula>"esterreur(reference)"</formula>
    </cfRule>
  </conditionalFormatting>
  <conditionalFormatting sqref="L93">
    <cfRule type="expression" dxfId="570" priority="379" stopIfTrue="1">
      <formula>"esterreur(reference)"</formula>
    </cfRule>
  </conditionalFormatting>
  <conditionalFormatting sqref="K171">
    <cfRule type="expression" dxfId="569" priority="377" stopIfTrue="1">
      <formula>"esterreur(reference)"</formula>
    </cfRule>
  </conditionalFormatting>
  <conditionalFormatting sqref="K174">
    <cfRule type="expression" dxfId="568" priority="376" stopIfTrue="1">
      <formula>"esterreur(reference)"</formula>
    </cfRule>
  </conditionalFormatting>
  <conditionalFormatting sqref="K177">
    <cfRule type="expression" dxfId="567" priority="375" stopIfTrue="1">
      <formula>"esterreur(reference)"</formula>
    </cfRule>
  </conditionalFormatting>
  <conditionalFormatting sqref="K180">
    <cfRule type="expression" dxfId="566" priority="373" stopIfTrue="1">
      <formula>"esterreur(reference)"</formula>
    </cfRule>
  </conditionalFormatting>
  <conditionalFormatting sqref="K240">
    <cfRule type="expression" dxfId="565" priority="369" stopIfTrue="1">
      <formula>"esterreur(reference)"</formula>
    </cfRule>
  </conditionalFormatting>
  <conditionalFormatting sqref="K243">
    <cfRule type="expression" dxfId="564" priority="368" stopIfTrue="1">
      <formula>"esterreur(reference)"</formula>
    </cfRule>
  </conditionalFormatting>
  <conditionalFormatting sqref="K246">
    <cfRule type="expression" dxfId="563" priority="366" stopIfTrue="1">
      <formula>"esterreur(reference)"</formula>
    </cfRule>
  </conditionalFormatting>
  <conditionalFormatting sqref="J306:J307">
    <cfRule type="expression" dxfId="562" priority="364" stopIfTrue="1">
      <formula>"esterreur(reference)"</formula>
    </cfRule>
  </conditionalFormatting>
  <conditionalFormatting sqref="K187">
    <cfRule type="expression" dxfId="561" priority="360" stopIfTrue="1">
      <formula>"esterreur(reference)"</formula>
    </cfRule>
  </conditionalFormatting>
  <conditionalFormatting sqref="K190">
    <cfRule type="expression" dxfId="560" priority="358" stopIfTrue="1">
      <formula>"esterreur(reference)"</formula>
    </cfRule>
  </conditionalFormatting>
  <conditionalFormatting sqref="J311">
    <cfRule type="expression" dxfId="559" priority="357" stopIfTrue="1">
      <formula>"esterreur(reference)"</formula>
    </cfRule>
  </conditionalFormatting>
  <conditionalFormatting sqref="L364:L375">
    <cfRule type="expression" dxfId="558" priority="351" stopIfTrue="1">
      <formula>"esterreur(reference)"</formula>
    </cfRule>
  </conditionalFormatting>
  <conditionalFormatting sqref="L377:L393">
    <cfRule type="expression" dxfId="557" priority="349" stopIfTrue="1">
      <formula>"esterreur(reference)"</formula>
    </cfRule>
  </conditionalFormatting>
  <conditionalFormatting sqref="K93">
    <cfRule type="expression" dxfId="556" priority="348" stopIfTrue="1">
      <formula>"esterreur(reference)"</formula>
    </cfRule>
  </conditionalFormatting>
  <conditionalFormatting sqref="L240">
    <cfRule type="expression" dxfId="555" priority="345" stopIfTrue="1">
      <formula>"esterreur(reference)"</formula>
    </cfRule>
  </conditionalFormatting>
  <conditionalFormatting sqref="K239">
    <cfRule type="expression" dxfId="554" priority="342" stopIfTrue="1">
      <formula>"esterreur(reference)"</formula>
    </cfRule>
  </conditionalFormatting>
  <conditionalFormatting sqref="L239">
    <cfRule type="expression" dxfId="553" priority="340" stopIfTrue="1">
      <formula>"esterreur(reference)"</formula>
    </cfRule>
  </conditionalFormatting>
  <conditionalFormatting sqref="F183">
    <cfRule type="expression" dxfId="552" priority="339" stopIfTrue="1">
      <formula>"esterreur(reference)"</formula>
    </cfRule>
  </conditionalFormatting>
  <conditionalFormatting sqref="J359">
    <cfRule type="expression" dxfId="551" priority="337" stopIfTrue="1">
      <formula>"esterreur(reference)"</formula>
    </cfRule>
  </conditionalFormatting>
  <conditionalFormatting sqref="L359">
    <cfRule type="expression" dxfId="550" priority="335" stopIfTrue="1">
      <formula>"esterreur(reference)"</formula>
    </cfRule>
  </conditionalFormatting>
  <conditionalFormatting sqref="S185">
    <cfRule type="expression" dxfId="549" priority="333" stopIfTrue="1">
      <formula>"esterreur(reference)"</formula>
    </cfRule>
  </conditionalFormatting>
  <conditionalFormatting sqref="K286">
    <cfRule type="expression" dxfId="548" priority="327" stopIfTrue="1">
      <formula>"esterreur(reference)"</formula>
    </cfRule>
  </conditionalFormatting>
  <conditionalFormatting sqref="AO408:AO413">
    <cfRule type="cellIs" dxfId="547" priority="279" operator="greaterThan">
      <formula>0</formula>
    </cfRule>
  </conditionalFormatting>
  <conditionalFormatting sqref="L71">
    <cfRule type="expression" dxfId="546" priority="278" stopIfTrue="1">
      <formula>"esterreur(reference)"</formula>
    </cfRule>
  </conditionalFormatting>
  <conditionalFormatting sqref="L210">
    <cfRule type="expression" dxfId="545" priority="272" stopIfTrue="1">
      <formula>"esterreur(reference)"</formula>
    </cfRule>
  </conditionalFormatting>
  <conditionalFormatting sqref="L122">
    <cfRule type="expression" dxfId="544" priority="276" stopIfTrue="1">
      <formula>"esterreur(reference)"</formula>
    </cfRule>
  </conditionalFormatting>
  <conditionalFormatting sqref="L266">
    <cfRule type="expression" dxfId="543" priority="270" stopIfTrue="1">
      <formula>"esterreur(reference)"</formula>
    </cfRule>
  </conditionalFormatting>
  <conditionalFormatting sqref="L135">
    <cfRule type="expression" dxfId="542" priority="274" stopIfTrue="1">
      <formula>"esterreur(reference)"</formula>
    </cfRule>
  </conditionalFormatting>
  <conditionalFormatting sqref="L330">
    <cfRule type="expression" dxfId="541" priority="268" stopIfTrue="1">
      <formula>"esterreur(reference)"</formula>
    </cfRule>
  </conditionalFormatting>
  <conditionalFormatting sqref="L75">
    <cfRule type="expression" dxfId="540" priority="266" stopIfTrue="1">
      <formula>"esterreur(reference)"</formula>
    </cfRule>
  </conditionalFormatting>
  <conditionalFormatting sqref="L60">
    <cfRule type="expression" dxfId="539" priority="264" stopIfTrue="1">
      <formula>"esterreur(reference)"</formula>
    </cfRule>
  </conditionalFormatting>
  <conditionalFormatting sqref="L59">
    <cfRule type="expression" dxfId="538" priority="265" stopIfTrue="1">
      <formula>"esterreur(reference)"</formula>
    </cfRule>
  </conditionalFormatting>
  <conditionalFormatting sqref="O25:Q30 Q18 O83:Q85 O41:Q41 O72:Q72 Q24 O13:O14 O16 O18:O24 O49:Q54 Q6:Q14 O31:P40 O42:P48">
    <cfRule type="expression" dxfId="537" priority="258" stopIfTrue="1">
      <formula>"esterreur(reference)"</formula>
    </cfRule>
  </conditionalFormatting>
  <conditionalFormatting sqref="P5">
    <cfRule type="expression" dxfId="536" priority="232" stopIfTrue="1">
      <formula>"esterreur(reference)"</formula>
    </cfRule>
  </conditionalFormatting>
  <conditionalFormatting sqref="Q32">
    <cfRule type="expression" dxfId="535" priority="253" stopIfTrue="1">
      <formula>"esterreur(reference)"</formula>
    </cfRule>
  </conditionalFormatting>
  <conditionalFormatting sqref="Q35">
    <cfRule type="expression" dxfId="534" priority="252" stopIfTrue="1">
      <formula>"esterreur(reference)"</formula>
    </cfRule>
  </conditionalFormatting>
  <conditionalFormatting sqref="O55:P56 O71:P71">
    <cfRule type="expression" dxfId="533" priority="259" stopIfTrue="1">
      <formula>"esterreur(reference)"</formula>
    </cfRule>
  </conditionalFormatting>
  <conditionalFormatting sqref="O61:P70">
    <cfRule type="expression" dxfId="532" priority="260" stopIfTrue="1">
      <formula>"esterreur(reference)"</formula>
    </cfRule>
  </conditionalFormatting>
  <conditionalFormatting sqref="O57:P59">
    <cfRule type="expression" dxfId="531" priority="261" stopIfTrue="1">
      <formula>"esterreur(reference)"</formula>
    </cfRule>
  </conditionalFormatting>
  <conditionalFormatting sqref="O60:P60">
    <cfRule type="expression" dxfId="530" priority="262" stopIfTrue="1">
      <formula>"esterreur(reference)"</formula>
    </cfRule>
  </conditionalFormatting>
  <conditionalFormatting sqref="Q19 Q21:Q23">
    <cfRule type="expression" dxfId="529" priority="256" stopIfTrue="1">
      <formula>"esterreur(reference)"</formula>
    </cfRule>
  </conditionalFormatting>
  <conditionalFormatting sqref="Q16:Q17">
    <cfRule type="expression" dxfId="528" priority="257" stopIfTrue="1">
      <formula>"esterreur(reference)"</formula>
    </cfRule>
  </conditionalFormatting>
  <conditionalFormatting sqref="Q20">
    <cfRule type="expression" dxfId="527" priority="255" stopIfTrue="1">
      <formula>"esterreur(reference)"</formula>
    </cfRule>
  </conditionalFormatting>
  <conditionalFormatting sqref="Q31 Q33:Q34">
    <cfRule type="expression" dxfId="526" priority="254" stopIfTrue="1">
      <formula>"esterreur(reference)"</formula>
    </cfRule>
  </conditionalFormatting>
  <conditionalFormatting sqref="Q42">
    <cfRule type="expression" dxfId="525" priority="250" stopIfTrue="1">
      <formula>"esterreur(reference)"</formula>
    </cfRule>
  </conditionalFormatting>
  <conditionalFormatting sqref="Q43">
    <cfRule type="expression" dxfId="524" priority="249" stopIfTrue="1">
      <formula>"esterreur(reference)"</formula>
    </cfRule>
  </conditionalFormatting>
  <conditionalFormatting sqref="Q44">
    <cfRule type="expression" dxfId="523" priority="248" stopIfTrue="1">
      <formula>"esterreur(reference)"</formula>
    </cfRule>
  </conditionalFormatting>
  <conditionalFormatting sqref="Q45:Q48">
    <cfRule type="expression" dxfId="522" priority="247" stopIfTrue="1">
      <formula>"esterreur(reference)"</formula>
    </cfRule>
  </conditionalFormatting>
  <conditionalFormatting sqref="Q55">
    <cfRule type="expression" dxfId="521" priority="246" stopIfTrue="1">
      <formula>"esterreur(reference)"</formula>
    </cfRule>
  </conditionalFormatting>
  <conditionalFormatting sqref="Q56">
    <cfRule type="expression" dxfId="520" priority="245" stopIfTrue="1">
      <formula>"esterreur(reference)"</formula>
    </cfRule>
  </conditionalFormatting>
  <conditionalFormatting sqref="Q58">
    <cfRule type="expression" dxfId="519" priority="244" stopIfTrue="1">
      <formula>"esterreur(reference)"</formula>
    </cfRule>
  </conditionalFormatting>
  <conditionalFormatting sqref="Q61">
    <cfRule type="expression" dxfId="518" priority="243" stopIfTrue="1">
      <formula>"esterreur(reference)"</formula>
    </cfRule>
  </conditionalFormatting>
  <conditionalFormatting sqref="Q63">
    <cfRule type="expression" dxfId="517" priority="242" stopIfTrue="1">
      <formula>"esterreur(reference)"</formula>
    </cfRule>
  </conditionalFormatting>
  <conditionalFormatting sqref="Q62">
    <cfRule type="expression" dxfId="516" priority="241" stopIfTrue="1">
      <formula>"esterreur(reference)"</formula>
    </cfRule>
  </conditionalFormatting>
  <conditionalFormatting sqref="Q64">
    <cfRule type="expression" dxfId="515" priority="240" stopIfTrue="1">
      <formula>"esterreur(reference)"</formula>
    </cfRule>
  </conditionalFormatting>
  <conditionalFormatting sqref="Q65">
    <cfRule type="expression" dxfId="514" priority="239" stopIfTrue="1">
      <formula>"esterreur(reference)"</formula>
    </cfRule>
  </conditionalFormatting>
  <conditionalFormatting sqref="Q66:Q69">
    <cfRule type="expression" dxfId="513" priority="238" stopIfTrue="1">
      <formula>"esterreur(reference)"</formula>
    </cfRule>
  </conditionalFormatting>
  <conditionalFormatting sqref="Q70">
    <cfRule type="expression" dxfId="512" priority="237" stopIfTrue="1">
      <formula>"esterreur(reference)"</formula>
    </cfRule>
  </conditionalFormatting>
  <conditionalFormatting sqref="Q75:Q82">
    <cfRule type="expression" dxfId="511" priority="236" stopIfTrue="1">
      <formula>"esterreur(reference)"</formula>
    </cfRule>
  </conditionalFormatting>
  <conditionalFormatting sqref="Q57">
    <cfRule type="expression" dxfId="510" priority="233" stopIfTrue="1">
      <formula>"esterreur(reference)"</formula>
    </cfRule>
  </conditionalFormatting>
  <conditionalFormatting sqref="Q5">
    <cfRule type="expression" dxfId="509" priority="231" stopIfTrue="1">
      <formula>"esterreur(reference)"</formula>
    </cfRule>
  </conditionalFormatting>
  <conditionalFormatting sqref="Q71">
    <cfRule type="expression" dxfId="508" priority="230" stopIfTrue="1">
      <formula>"esterreur(reference)"</formula>
    </cfRule>
  </conditionalFormatting>
  <conditionalFormatting sqref="Q60">
    <cfRule type="expression" dxfId="507" priority="227" stopIfTrue="1">
      <formula>"esterreur(reference)"</formula>
    </cfRule>
  </conditionalFormatting>
  <conditionalFormatting sqref="P98">
    <cfRule type="expression" dxfId="506" priority="226" stopIfTrue="1">
      <formula>"esterreur(reference)"</formula>
    </cfRule>
  </conditionalFormatting>
  <conditionalFormatting sqref="Q59">
    <cfRule type="expression" dxfId="505" priority="228" stopIfTrue="1">
      <formula>"esterreur(reference)"</formula>
    </cfRule>
  </conditionalFormatting>
  <conditionalFormatting sqref="O163:Q163 O164:P164 O121:Q121 O152:Q152 O96:Q97 O100:Q100 P94:P95 O104:Q110 P99 O134:Q134 O101:P103 O135:P136 O155:P156 O111:P120">
    <cfRule type="expression" dxfId="504" priority="222" stopIfTrue="1">
      <formula>"esterreur(reference)"</formula>
    </cfRule>
  </conditionalFormatting>
  <conditionalFormatting sqref="O141:P147">
    <cfRule type="expression" dxfId="503" priority="223" stopIfTrue="1">
      <formula>"esterreur(reference)"</formula>
    </cfRule>
  </conditionalFormatting>
  <conditionalFormatting sqref="O137:P139">
    <cfRule type="expression" dxfId="502" priority="224" stopIfTrue="1">
      <formula>"esterreur(reference)"</formula>
    </cfRule>
  </conditionalFormatting>
  <conditionalFormatting sqref="O140:P140">
    <cfRule type="expression" dxfId="501" priority="225" stopIfTrue="1">
      <formula>"esterreur(reference)"</formula>
    </cfRule>
  </conditionalFormatting>
  <conditionalFormatting sqref="Q94:Q95">
    <cfRule type="expression" dxfId="500" priority="221" stopIfTrue="1">
      <formula>"esterreur(reference)"</formula>
    </cfRule>
  </conditionalFormatting>
  <conditionalFormatting sqref="Q98">
    <cfRule type="expression" dxfId="499" priority="220" stopIfTrue="1">
      <formula>"esterreur(reference)"</formula>
    </cfRule>
  </conditionalFormatting>
  <conditionalFormatting sqref="Q99">
    <cfRule type="expression" dxfId="498" priority="219" stopIfTrue="1">
      <formula>"esterreur(reference)"</formula>
    </cfRule>
  </conditionalFormatting>
  <conditionalFormatting sqref="Q101">
    <cfRule type="expression" dxfId="497" priority="218" stopIfTrue="1">
      <formula>"esterreur(reference)"</formula>
    </cfRule>
  </conditionalFormatting>
  <conditionalFormatting sqref="Q102">
    <cfRule type="expression" dxfId="496" priority="217" stopIfTrue="1">
      <formula>"esterreur(reference)"</formula>
    </cfRule>
  </conditionalFormatting>
  <conditionalFormatting sqref="Q103">
    <cfRule type="expression" dxfId="495" priority="216" stopIfTrue="1">
      <formula>"esterreur(reference)"</formula>
    </cfRule>
  </conditionalFormatting>
  <conditionalFormatting sqref="Q111">
    <cfRule type="expression" dxfId="494" priority="215" stopIfTrue="1">
      <formula>"esterreur(reference)"</formula>
    </cfRule>
  </conditionalFormatting>
  <conditionalFormatting sqref="Q112">
    <cfRule type="expression" dxfId="493" priority="214" stopIfTrue="1">
      <formula>"esterreur(reference)"</formula>
    </cfRule>
  </conditionalFormatting>
  <conditionalFormatting sqref="Q114">
    <cfRule type="expression" dxfId="492" priority="213" stopIfTrue="1">
      <formula>"esterreur(reference)"</formula>
    </cfRule>
  </conditionalFormatting>
  <conditionalFormatting sqref="Q116:Q119">
    <cfRule type="expression" dxfId="491" priority="212" stopIfTrue="1">
      <formula>"esterreur(reference)"</formula>
    </cfRule>
  </conditionalFormatting>
  <conditionalFormatting sqref="Q120">
    <cfRule type="expression" dxfId="490" priority="211" stopIfTrue="1">
      <formula>"esterreur(reference)"</formula>
    </cfRule>
  </conditionalFormatting>
  <conditionalFormatting sqref="Q130">
    <cfRule type="expression" dxfId="489" priority="206" stopIfTrue="1">
      <formula>"esterreur(reference)"</formula>
    </cfRule>
  </conditionalFormatting>
  <conditionalFormatting sqref="Q124">
    <cfRule type="expression" dxfId="488" priority="210" stopIfTrue="1">
      <formula>"esterreur(reference)"</formula>
    </cfRule>
  </conditionalFormatting>
  <conditionalFormatting sqref="Q123">
    <cfRule type="expression" dxfId="487" priority="208" stopIfTrue="1">
      <formula>"esterreur(reference)"</formula>
    </cfRule>
  </conditionalFormatting>
  <conditionalFormatting sqref="Q139">
    <cfRule type="expression" dxfId="486" priority="199" stopIfTrue="1">
      <formula>"esterreur(reference)"</formula>
    </cfRule>
  </conditionalFormatting>
  <conditionalFormatting sqref="Q131">
    <cfRule type="expression" dxfId="485" priority="205" stopIfTrue="1">
      <formula>"esterreur(reference)"</formula>
    </cfRule>
  </conditionalFormatting>
  <conditionalFormatting sqref="Q132">
    <cfRule type="expression" dxfId="484" priority="204" stopIfTrue="1">
      <formula>"esterreur(reference)"</formula>
    </cfRule>
  </conditionalFormatting>
  <conditionalFormatting sqref="Q133">
    <cfRule type="expression" dxfId="483" priority="203" stopIfTrue="1">
      <formula>"esterreur(reference)"</formula>
    </cfRule>
  </conditionalFormatting>
  <conditionalFormatting sqref="Q141">
    <cfRule type="expression" dxfId="482" priority="197" stopIfTrue="1">
      <formula>"esterreur(reference)"</formula>
    </cfRule>
  </conditionalFormatting>
  <conditionalFormatting sqref="Q136">
    <cfRule type="expression" dxfId="481" priority="202" stopIfTrue="1">
      <formula>"esterreur(reference)"</formula>
    </cfRule>
  </conditionalFormatting>
  <conditionalFormatting sqref="Q137">
    <cfRule type="expression" dxfId="480" priority="201" stopIfTrue="1">
      <formula>"esterreur(reference)"</formula>
    </cfRule>
  </conditionalFormatting>
  <conditionalFormatting sqref="Q138">
    <cfRule type="expression" dxfId="479" priority="200" stopIfTrue="1">
      <formula>"esterreur(reference)"</formula>
    </cfRule>
  </conditionalFormatting>
  <conditionalFormatting sqref="Q143">
    <cfRule type="expression" dxfId="478" priority="195" stopIfTrue="1">
      <formula>"esterreur(reference)"</formula>
    </cfRule>
  </conditionalFormatting>
  <conditionalFormatting sqref="Q140">
    <cfRule type="expression" dxfId="477" priority="198" stopIfTrue="1">
      <formula>"esterreur(reference)"</formula>
    </cfRule>
  </conditionalFormatting>
  <conditionalFormatting sqref="Q142">
    <cfRule type="expression" dxfId="476" priority="196" stopIfTrue="1">
      <formula>"esterreur(reference)"</formula>
    </cfRule>
  </conditionalFormatting>
  <conditionalFormatting sqref="Q144">
    <cfRule type="expression" dxfId="475" priority="194" stopIfTrue="1">
      <formula>"esterreur(reference)"</formula>
    </cfRule>
  </conditionalFormatting>
  <conditionalFormatting sqref="Q145">
    <cfRule type="expression" dxfId="474" priority="193" stopIfTrue="1">
      <formula>"esterreur(reference)"</formula>
    </cfRule>
  </conditionalFormatting>
  <conditionalFormatting sqref="Q146">
    <cfRule type="expression" dxfId="473" priority="192" stopIfTrue="1">
      <formula>"esterreur(reference)"</formula>
    </cfRule>
  </conditionalFormatting>
  <conditionalFormatting sqref="Q147">
    <cfRule type="expression" dxfId="472" priority="191" stopIfTrue="1">
      <formula>"esterreur(reference)"</formula>
    </cfRule>
  </conditionalFormatting>
  <conditionalFormatting sqref="Q113">
    <cfRule type="expression" dxfId="471" priority="184" stopIfTrue="1">
      <formula>"esterreur(reference)"</formula>
    </cfRule>
  </conditionalFormatting>
  <conditionalFormatting sqref="Q155:Q161">
    <cfRule type="expression" dxfId="470" priority="188" stopIfTrue="1">
      <formula>"esterreur(reference)"</formula>
    </cfRule>
  </conditionalFormatting>
  <conditionalFormatting sqref="Q93">
    <cfRule type="expression" dxfId="469" priority="183" stopIfTrue="1">
      <formula>"esterreur(reference)"</formula>
    </cfRule>
  </conditionalFormatting>
  <conditionalFormatting sqref="Q115">
    <cfRule type="expression" dxfId="468" priority="185" stopIfTrue="1">
      <formula>"esterreur(reference)"</formula>
    </cfRule>
  </conditionalFormatting>
  <conditionalFormatting sqref="P93">
    <cfRule type="expression" dxfId="467" priority="182" stopIfTrue="1">
      <formula>"esterreur(reference)"</formula>
    </cfRule>
  </conditionalFormatting>
  <conditionalFormatting sqref="Q122">
    <cfRule type="expression" dxfId="466" priority="181" stopIfTrue="1">
      <formula>"esterreur(reference)"</formula>
    </cfRule>
  </conditionalFormatting>
  <conditionalFormatting sqref="Q135">
    <cfRule type="expression" dxfId="465" priority="180" stopIfTrue="1">
      <formula>"esterreur(reference)"</formula>
    </cfRule>
  </conditionalFormatting>
  <conditionalFormatting sqref="O171:O195 O231:Q231 O232:P232 P172:Q172 P175:Q176 P178:Q179 P181:Q181 P184:Q186 P183 P188:Q189 Q182 P191:Q195 Q190 Q173 O225:P228 O197:P218">
    <cfRule type="expression" dxfId="464" priority="146" stopIfTrue="1">
      <formula>"esterreur(reference)"</formula>
    </cfRule>
  </conditionalFormatting>
  <conditionalFormatting sqref="O219:P224">
    <cfRule type="expression" dxfId="463" priority="147" stopIfTrue="1">
      <formula>"esterreur(reference)"</formula>
    </cfRule>
  </conditionalFormatting>
  <conditionalFormatting sqref="O196:Q196">
    <cfRule type="expression" dxfId="462" priority="148" stopIfTrue="1">
      <formula>"esterreur(reference)"</formula>
    </cfRule>
  </conditionalFormatting>
  <conditionalFormatting sqref="Q207">
    <cfRule type="expression" dxfId="461" priority="131" stopIfTrue="1">
      <formula>"esterreur(reference)"</formula>
    </cfRule>
  </conditionalFormatting>
  <conditionalFormatting sqref="Q227">
    <cfRule type="expression" dxfId="460" priority="127" stopIfTrue="1">
      <formula>"esterreur(reference)"</formula>
    </cfRule>
  </conditionalFormatting>
  <conditionalFormatting sqref="Q171">
    <cfRule type="expression" dxfId="459" priority="145" stopIfTrue="1">
      <formula>"esterreur(reference)"</formula>
    </cfRule>
  </conditionalFormatting>
  <conditionalFormatting sqref="Q174">
    <cfRule type="expression" dxfId="458" priority="144" stopIfTrue="1">
      <formula>"esterreur(reference)"</formula>
    </cfRule>
  </conditionalFormatting>
  <conditionalFormatting sqref="Q177">
    <cfRule type="expression" dxfId="457" priority="143" stopIfTrue="1">
      <formula>"esterreur(reference)"</formula>
    </cfRule>
  </conditionalFormatting>
  <conditionalFormatting sqref="Q183">
    <cfRule type="expression" dxfId="456" priority="142" stopIfTrue="1">
      <formula>"esterreur(reference)"</formula>
    </cfRule>
  </conditionalFormatting>
  <conditionalFormatting sqref="Q187">
    <cfRule type="expression" dxfId="455" priority="141" stopIfTrue="1">
      <formula>"esterreur(reference)"</formula>
    </cfRule>
  </conditionalFormatting>
  <conditionalFormatting sqref="Q197">
    <cfRule type="expression" dxfId="454" priority="140" stopIfTrue="1">
      <formula>"esterreur(reference)"</formula>
    </cfRule>
  </conditionalFormatting>
  <conditionalFormatting sqref="Q199">
    <cfRule type="expression" dxfId="453" priority="139" stopIfTrue="1">
      <formula>"esterreur(reference)"</formula>
    </cfRule>
  </conditionalFormatting>
  <conditionalFormatting sqref="Q198">
    <cfRule type="expression" dxfId="452" priority="138" stopIfTrue="1">
      <formula>"esterreur(reference)"</formula>
    </cfRule>
  </conditionalFormatting>
  <conditionalFormatting sqref="Q200">
    <cfRule type="expression" dxfId="451" priority="137" stopIfTrue="1">
      <formula>"esterreur(reference)"</formula>
    </cfRule>
  </conditionalFormatting>
  <conditionalFormatting sqref="Q201">
    <cfRule type="expression" dxfId="450" priority="136" stopIfTrue="1">
      <formula>"esterreur(reference)"</formula>
    </cfRule>
  </conditionalFormatting>
  <conditionalFormatting sqref="Q202:Q204">
    <cfRule type="expression" dxfId="449" priority="135" stopIfTrue="1">
      <formula>"esterreur(reference)"</formula>
    </cfRule>
  </conditionalFormatting>
  <conditionalFormatting sqref="Q206">
    <cfRule type="expression" dxfId="448" priority="132" stopIfTrue="1">
      <formula>"esterreur(reference)"</formula>
    </cfRule>
  </conditionalFormatting>
  <conditionalFormatting sqref="Q205">
    <cfRule type="expression" dxfId="447" priority="133" stopIfTrue="1">
      <formula>"esterreur(reference)"</formula>
    </cfRule>
  </conditionalFormatting>
  <conditionalFormatting sqref="Q208">
    <cfRule type="expression" dxfId="446" priority="130" stopIfTrue="1">
      <formula>"esterreur(reference)"</formula>
    </cfRule>
  </conditionalFormatting>
  <conditionalFormatting sqref="Q211:Q224">
    <cfRule type="expression" dxfId="445" priority="129" stopIfTrue="1">
      <formula>"esterreur(reference)"</formula>
    </cfRule>
  </conditionalFormatting>
  <conditionalFormatting sqref="Q225:Q226">
    <cfRule type="expression" dxfId="444" priority="128" stopIfTrue="1">
      <formula>"esterreur(reference)"</formula>
    </cfRule>
  </conditionalFormatting>
  <conditionalFormatting sqref="Q180">
    <cfRule type="expression" dxfId="443" priority="126" stopIfTrue="1">
      <formula>"esterreur(reference)"</formula>
    </cfRule>
  </conditionalFormatting>
  <conditionalFormatting sqref="P182">
    <cfRule type="expression" dxfId="442" priority="125" stopIfTrue="1">
      <formula>"esterreur(reference)"</formula>
    </cfRule>
  </conditionalFormatting>
  <conditionalFormatting sqref="P171">
    <cfRule type="expression" dxfId="441" priority="124" stopIfTrue="1">
      <formula>"esterreur(reference)"</formula>
    </cfRule>
  </conditionalFormatting>
  <conditionalFormatting sqref="P174">
    <cfRule type="expression" dxfId="440" priority="123" stopIfTrue="1">
      <formula>"esterreur(reference)"</formula>
    </cfRule>
  </conditionalFormatting>
  <conditionalFormatting sqref="P177">
    <cfRule type="expression" dxfId="439" priority="122" stopIfTrue="1">
      <formula>"esterreur(reference)"</formula>
    </cfRule>
  </conditionalFormatting>
  <conditionalFormatting sqref="P180">
    <cfRule type="expression" dxfId="438" priority="121" stopIfTrue="1">
      <formula>"esterreur(reference)"</formula>
    </cfRule>
  </conditionalFormatting>
  <conditionalFormatting sqref="P187">
    <cfRule type="expression" dxfId="437" priority="120" stopIfTrue="1">
      <formula>"esterreur(reference)"</formula>
    </cfRule>
  </conditionalFormatting>
  <conditionalFormatting sqref="P190">
    <cfRule type="expression" dxfId="436" priority="119" stopIfTrue="1">
      <formula>"esterreur(reference)"</formula>
    </cfRule>
  </conditionalFormatting>
  <conditionalFormatting sqref="Q210">
    <cfRule type="expression" dxfId="435" priority="118" stopIfTrue="1">
      <formula>"esterreur(reference)"</formula>
    </cfRule>
  </conditionalFormatting>
  <conditionalFormatting sqref="O287:Q287 O288:P288 O242:Q242 O251:Q252 O284:Q284 Q275:Q283 O253:P274">
    <cfRule type="expression" dxfId="434" priority="115" stopIfTrue="1">
      <formula>"esterreur(reference)"</formula>
    </cfRule>
  </conditionalFormatting>
  <conditionalFormatting sqref="O275:P280">
    <cfRule type="expression" dxfId="433" priority="116" stopIfTrue="1">
      <formula>"esterreur(reference)"</formula>
    </cfRule>
  </conditionalFormatting>
  <conditionalFormatting sqref="O281:P283">
    <cfRule type="expression" dxfId="432" priority="117" stopIfTrue="1">
      <formula>"esterreur(reference)"</formula>
    </cfRule>
  </conditionalFormatting>
  <conditionalFormatting sqref="Q271">
    <cfRule type="expression" dxfId="431" priority="97" stopIfTrue="1">
      <formula>"esterreur(reference)"</formula>
    </cfRule>
  </conditionalFormatting>
  <conditionalFormatting sqref="Q274">
    <cfRule type="expression" dxfId="430" priority="95" stopIfTrue="1">
      <formula>"esterreur(reference)"</formula>
    </cfRule>
  </conditionalFormatting>
  <conditionalFormatting sqref="Q243">
    <cfRule type="expression" dxfId="429" priority="114" stopIfTrue="1">
      <formula>"esterreur(reference)"</formula>
    </cfRule>
  </conditionalFormatting>
  <conditionalFormatting sqref="Q246">
    <cfRule type="expression" dxfId="428" priority="113" stopIfTrue="1">
      <formula>"esterreur(reference)"</formula>
    </cfRule>
  </conditionalFormatting>
  <conditionalFormatting sqref="Q253">
    <cfRule type="expression" dxfId="427" priority="112" stopIfTrue="1">
      <formula>"esterreur(reference)"</formula>
    </cfRule>
  </conditionalFormatting>
  <conditionalFormatting sqref="Q254">
    <cfRule type="expression" dxfId="426" priority="111" stopIfTrue="1">
      <formula>"esterreur(reference)"</formula>
    </cfRule>
  </conditionalFormatting>
  <conditionalFormatting sqref="Q255">
    <cfRule type="expression" dxfId="425" priority="110" stopIfTrue="1">
      <formula>"esterreur(reference)"</formula>
    </cfRule>
  </conditionalFormatting>
  <conditionalFormatting sqref="Q256">
    <cfRule type="expression" dxfId="424" priority="109" stopIfTrue="1">
      <formula>"esterreur(reference)"</formula>
    </cfRule>
  </conditionalFormatting>
  <conditionalFormatting sqref="Q257">
    <cfRule type="expression" dxfId="423" priority="108" stopIfTrue="1">
      <formula>"esterreur(reference)"</formula>
    </cfRule>
  </conditionalFormatting>
  <conditionalFormatting sqref="Q258">
    <cfRule type="expression" dxfId="422" priority="107" stopIfTrue="1">
      <formula>"esterreur(reference)"</formula>
    </cfRule>
  </conditionalFormatting>
  <conditionalFormatting sqref="Q259">
    <cfRule type="expression" dxfId="421" priority="106" stopIfTrue="1">
      <formula>"esterreur(reference)"</formula>
    </cfRule>
  </conditionalFormatting>
  <conditionalFormatting sqref="Q260">
    <cfRule type="expression" dxfId="420" priority="105" stopIfTrue="1">
      <formula>"esterreur(reference)"</formula>
    </cfRule>
  </conditionalFormatting>
  <conditionalFormatting sqref="Q261">
    <cfRule type="expression" dxfId="419" priority="104" stopIfTrue="1">
      <formula>"esterreur(reference)"</formula>
    </cfRule>
  </conditionalFormatting>
  <conditionalFormatting sqref="Q262">
    <cfRule type="expression" dxfId="418" priority="103" stopIfTrue="1">
      <formula>"esterreur(reference)"</formula>
    </cfRule>
  </conditionalFormatting>
  <conditionalFormatting sqref="Q263:Q264">
    <cfRule type="expression" dxfId="417" priority="102" stopIfTrue="1">
      <formula>"esterreur(reference)"</formula>
    </cfRule>
  </conditionalFormatting>
  <conditionalFormatting sqref="Q268">
    <cfRule type="expression" dxfId="416" priority="100" stopIfTrue="1">
      <formula>"esterreur(reference)"</formula>
    </cfRule>
  </conditionalFormatting>
  <conditionalFormatting sqref="Q267">
    <cfRule type="expression" dxfId="415" priority="101" stopIfTrue="1">
      <formula>"esterreur(reference)"</formula>
    </cfRule>
  </conditionalFormatting>
  <conditionalFormatting sqref="Q269">
    <cfRule type="expression" dxfId="414" priority="99" stopIfTrue="1">
      <formula>"esterreur(reference)"</formula>
    </cfRule>
  </conditionalFormatting>
  <conditionalFormatting sqref="Q270">
    <cfRule type="expression" dxfId="413" priority="98" stopIfTrue="1">
      <formula>"esterreur(reference)"</formula>
    </cfRule>
  </conditionalFormatting>
  <conditionalFormatting sqref="Q272:Q273">
    <cfRule type="expression" dxfId="412" priority="96" stopIfTrue="1">
      <formula>"esterreur(reference)"</formula>
    </cfRule>
  </conditionalFormatting>
  <conditionalFormatting sqref="P240">
    <cfRule type="expression" dxfId="411" priority="94" stopIfTrue="1">
      <formula>"esterreur(reference)"</formula>
    </cfRule>
  </conditionalFormatting>
  <conditionalFormatting sqref="P243">
    <cfRule type="expression" dxfId="410" priority="93" stopIfTrue="1">
      <formula>"esterreur(reference)"</formula>
    </cfRule>
  </conditionalFormatting>
  <conditionalFormatting sqref="P246">
    <cfRule type="expression" dxfId="409" priority="92" stopIfTrue="1">
      <formula>"esterreur(reference)"</formula>
    </cfRule>
  </conditionalFormatting>
  <conditionalFormatting sqref="Q240">
    <cfRule type="expression" dxfId="408" priority="91" stopIfTrue="1">
      <formula>"esterreur(reference)"</formula>
    </cfRule>
  </conditionalFormatting>
  <conditionalFormatting sqref="P286">
    <cfRule type="expression" dxfId="407" priority="90" stopIfTrue="1">
      <formula>"esterreur(reference)"</formula>
    </cfRule>
  </conditionalFormatting>
  <conditionalFormatting sqref="Q266">
    <cfRule type="expression" dxfId="406" priority="89" stopIfTrue="1">
      <formula>"esterreur(reference)"</formula>
    </cfRule>
  </conditionalFormatting>
  <conditionalFormatting sqref="O308:Q310 O303:Q305 O351:Q351 O352:P352 O348:Q348 O312:Q315 P306:P307 P311 O294:P302 Q319:Q324 O317:P347">
    <cfRule type="expression" dxfId="405" priority="87" stopIfTrue="1">
      <formula>"esterreur(reference)"</formula>
    </cfRule>
  </conditionalFormatting>
  <conditionalFormatting sqref="O316:Q316">
    <cfRule type="expression" dxfId="404" priority="88" stopIfTrue="1">
      <formula>"esterreur(reference)"</formula>
    </cfRule>
  </conditionalFormatting>
  <conditionalFormatting sqref="Q331:Q347">
    <cfRule type="expression" dxfId="403" priority="74" stopIfTrue="1">
      <formula>"esterreur(reference)"</formula>
    </cfRule>
  </conditionalFormatting>
  <conditionalFormatting sqref="Q325">
    <cfRule type="expression" dxfId="402" priority="78" stopIfTrue="1">
      <formula>"esterreur(reference)"</formula>
    </cfRule>
  </conditionalFormatting>
  <conditionalFormatting sqref="Q326">
    <cfRule type="expression" dxfId="401" priority="77" stopIfTrue="1">
      <formula>"esterreur(reference)"</formula>
    </cfRule>
  </conditionalFormatting>
  <conditionalFormatting sqref="Q327">
    <cfRule type="expression" dxfId="400" priority="76" stopIfTrue="1">
      <formula>"esterreur(reference)"</formula>
    </cfRule>
  </conditionalFormatting>
  <conditionalFormatting sqref="Q328">
    <cfRule type="expression" dxfId="399" priority="75" stopIfTrue="1">
      <formula>"esterreur(reference)"</formula>
    </cfRule>
  </conditionalFormatting>
  <conditionalFormatting sqref="Q294:Q300">
    <cfRule type="expression" dxfId="398" priority="86" stopIfTrue="1">
      <formula>"esterreur(reference)"</formula>
    </cfRule>
  </conditionalFormatting>
  <conditionalFormatting sqref="Q301">
    <cfRule type="expression" dxfId="397" priority="85" stopIfTrue="1">
      <formula>"esterreur(reference)"</formula>
    </cfRule>
  </conditionalFormatting>
  <conditionalFormatting sqref="Q302">
    <cfRule type="expression" dxfId="396" priority="84" stopIfTrue="1">
      <formula>"esterreur(reference)"</formula>
    </cfRule>
  </conditionalFormatting>
  <conditionalFormatting sqref="Q306">
    <cfRule type="expression" dxfId="395" priority="83" stopIfTrue="1">
      <formula>"esterreur(reference)"</formula>
    </cfRule>
  </conditionalFormatting>
  <conditionalFormatting sqref="Q307">
    <cfRule type="expression" dxfId="394" priority="82" stopIfTrue="1">
      <formula>"esterreur(reference)"</formula>
    </cfRule>
  </conditionalFormatting>
  <conditionalFormatting sqref="Q311">
    <cfRule type="expression" dxfId="393" priority="81" stopIfTrue="1">
      <formula>"esterreur(reference)"</formula>
    </cfRule>
  </conditionalFormatting>
  <conditionalFormatting sqref="Q317">
    <cfRule type="expression" dxfId="392" priority="80" stopIfTrue="1">
      <formula>"esterreur(reference)"</formula>
    </cfRule>
  </conditionalFormatting>
  <conditionalFormatting sqref="Q318">
    <cfRule type="expression" dxfId="391" priority="79" stopIfTrue="1">
      <formula>"esterreur(reference)"</formula>
    </cfRule>
  </conditionalFormatting>
  <conditionalFormatting sqref="O306:O307">
    <cfRule type="expression" dxfId="390" priority="73" stopIfTrue="1">
      <formula>"esterreur(reference)"</formula>
    </cfRule>
  </conditionalFormatting>
  <conditionalFormatting sqref="O311">
    <cfRule type="expression" dxfId="389" priority="72" stopIfTrue="1">
      <formula>"esterreur(reference)"</formula>
    </cfRule>
  </conditionalFormatting>
  <conditionalFormatting sqref="Q330">
    <cfRule type="expression" dxfId="388" priority="71" stopIfTrue="1">
      <formula>"esterreur(reference)"</formula>
    </cfRule>
  </conditionalFormatting>
  <conditionalFormatting sqref="O363:Q363 O364:P375">
    <cfRule type="expression" dxfId="387" priority="65" stopIfTrue="1">
      <formula>"esterreur(reference)"</formula>
    </cfRule>
  </conditionalFormatting>
  <conditionalFormatting sqref="O358:Q358">
    <cfRule type="expression" dxfId="386" priority="66" stopIfTrue="1">
      <formula>"esterreur(reference)"</formula>
    </cfRule>
  </conditionalFormatting>
  <conditionalFormatting sqref="O376:Q376 O377:P392">
    <cfRule type="expression" dxfId="385" priority="67" stopIfTrue="1">
      <formula>"esterreur(reference)"</formula>
    </cfRule>
  </conditionalFormatting>
  <conditionalFormatting sqref="O395:Q398 O393:P393">
    <cfRule type="expression" dxfId="384" priority="68" stopIfTrue="1">
      <formula>"esterreur(reference)"</formula>
    </cfRule>
  </conditionalFormatting>
  <conditionalFormatting sqref="O360:Q362 P359">
    <cfRule type="expression" dxfId="383" priority="69" stopIfTrue="1">
      <formula>"esterreur(reference)"</formula>
    </cfRule>
  </conditionalFormatting>
  <conditionalFormatting sqref="P394">
    <cfRule type="expression" dxfId="382" priority="70" stopIfTrue="1">
      <formula>"esterreur(reference)"</formula>
    </cfRule>
  </conditionalFormatting>
  <conditionalFormatting sqref="Q364:Q375">
    <cfRule type="expression" dxfId="381" priority="64" stopIfTrue="1">
      <formula>"esterreur(reference)"</formula>
    </cfRule>
  </conditionalFormatting>
  <conditionalFormatting sqref="Q377:Q393">
    <cfRule type="expression" dxfId="380" priority="63" stopIfTrue="1">
      <formula>"esterreur(reference)"</formula>
    </cfRule>
  </conditionalFormatting>
  <conditionalFormatting sqref="O359">
    <cfRule type="expression" dxfId="379" priority="62" stopIfTrue="1">
      <formula>"esterreur(reference)"</formula>
    </cfRule>
  </conditionalFormatting>
  <conditionalFormatting sqref="Q359">
    <cfRule type="expression" dxfId="378" priority="61" stopIfTrue="1">
      <formula>"esterreur(reference)"</formula>
    </cfRule>
  </conditionalFormatting>
  <conditionalFormatting sqref="Q36:Q40">
    <cfRule type="expression" dxfId="377" priority="60" stopIfTrue="1">
      <formula>"esterreur(reference)"</formula>
    </cfRule>
  </conditionalFormatting>
  <conditionalFormatting sqref="L68">
    <cfRule type="expression" dxfId="376" priority="59" stopIfTrue="1">
      <formula>"esterreur(reference)"</formula>
    </cfRule>
  </conditionalFormatting>
  <conditionalFormatting sqref="Q149:Q151">
    <cfRule type="expression" dxfId="375" priority="50" stopIfTrue="1">
      <formula>"esterreur(reference)"</formula>
    </cfRule>
  </conditionalFormatting>
  <conditionalFormatting sqref="H148 J148:K148">
    <cfRule type="expression" dxfId="374" priority="57" stopIfTrue="1">
      <formula>"esterreur(reference)"</formula>
    </cfRule>
  </conditionalFormatting>
  <conditionalFormatting sqref="L148">
    <cfRule type="expression" dxfId="373" priority="56" stopIfTrue="1">
      <formula>"esterreur(reference)"</formula>
    </cfRule>
  </conditionalFormatting>
  <conditionalFormatting sqref="O148:P148">
    <cfRule type="expression" dxfId="372" priority="55" stopIfTrue="1">
      <formula>"esterreur(reference)"</formula>
    </cfRule>
  </conditionalFormatting>
  <conditionalFormatting sqref="Q148">
    <cfRule type="expression" dxfId="371" priority="54" stopIfTrue="1">
      <formula>"esterreur(reference)"</formula>
    </cfRule>
  </conditionalFormatting>
  <conditionalFormatting sqref="H149:H151 J149:K151">
    <cfRule type="expression" dxfId="370" priority="53" stopIfTrue="1">
      <formula>"esterreur(reference)"</formula>
    </cfRule>
  </conditionalFormatting>
  <conditionalFormatting sqref="L149:L151">
    <cfRule type="expression" dxfId="369" priority="52" stopIfTrue="1">
      <formula>"esterreur(reference)"</formula>
    </cfRule>
  </conditionalFormatting>
  <conditionalFormatting sqref="O149:P151">
    <cfRule type="expression" dxfId="368" priority="51" stopIfTrue="1">
      <formula>"esterreur(reference)"</formula>
    </cfRule>
  </conditionalFormatting>
  <conditionalFormatting sqref="L158:L161">
    <cfRule type="expression" dxfId="367" priority="49" stopIfTrue="1">
      <formula>"esterreur(reference)"</formula>
    </cfRule>
  </conditionalFormatting>
  <conditionalFormatting sqref="AG414:AI417">
    <cfRule type="cellIs" dxfId="366" priority="47" operator="greaterThan">
      <formula>0</formula>
    </cfRule>
  </conditionalFormatting>
  <conditionalFormatting sqref="AO414:AO417">
    <cfRule type="cellIs" dxfId="365" priority="46" operator="greaterThan">
      <formula>0</formula>
    </cfRule>
  </conditionalFormatting>
  <conditionalFormatting sqref="G111:G112">
    <cfRule type="expression" dxfId="364" priority="31" stopIfTrue="1">
      <formula>"esterreur(reference)"</formula>
    </cfRule>
  </conditionalFormatting>
  <conditionalFormatting sqref="AH424:AH426">
    <cfRule type="cellIs" dxfId="363" priority="30" operator="greaterThan">
      <formula>0</formula>
    </cfRule>
  </conditionalFormatting>
  <conditionalFormatting sqref="AI431">
    <cfRule type="cellIs" dxfId="362" priority="29" operator="greaterThan">
      <formula>0</formula>
    </cfRule>
  </conditionalFormatting>
  <conditionalFormatting sqref="AH431">
    <cfRule type="cellIs" dxfId="361" priority="28" operator="greaterThan">
      <formula>0</formula>
    </cfRule>
  </conditionalFormatting>
  <conditionalFormatting sqref="AI448:AI450">
    <cfRule type="cellIs" dxfId="360" priority="27" operator="greaterThan">
      <formula>0</formula>
    </cfRule>
  </conditionalFormatting>
  <conditionalFormatting sqref="AH448:AH450">
    <cfRule type="cellIs" dxfId="359" priority="26" operator="greaterThan">
      <formula>0</formula>
    </cfRule>
  </conditionalFormatting>
  <conditionalFormatting sqref="AI462:AI464">
    <cfRule type="cellIs" dxfId="358" priority="25" operator="greaterThan">
      <formula>0</formula>
    </cfRule>
  </conditionalFormatting>
  <conditionalFormatting sqref="AH462:AH464">
    <cfRule type="cellIs" dxfId="357" priority="24" operator="greaterThan">
      <formula>0</formula>
    </cfRule>
  </conditionalFormatting>
  <conditionalFormatting sqref="AI476:AI478">
    <cfRule type="cellIs" dxfId="356" priority="23" operator="greaterThan">
      <formula>0</formula>
    </cfRule>
  </conditionalFormatting>
  <conditionalFormatting sqref="AH476:AH478">
    <cfRule type="cellIs" dxfId="355" priority="22" operator="greaterThan">
      <formula>0</formula>
    </cfRule>
  </conditionalFormatting>
  <conditionalFormatting sqref="AI494:AI496">
    <cfRule type="cellIs" dxfId="354" priority="21" operator="greaterThan">
      <formula>0</formula>
    </cfRule>
  </conditionalFormatting>
  <conditionalFormatting sqref="AH494:AH496">
    <cfRule type="cellIs" dxfId="353" priority="20" operator="greaterThan">
      <formula>0</formula>
    </cfRule>
  </conditionalFormatting>
  <conditionalFormatting sqref="H83:H85 H72 H25:H54">
    <cfRule type="expression" dxfId="352" priority="13" stopIfTrue="1">
      <formula>"esterreur(reference)"</formula>
    </cfRule>
  </conditionalFormatting>
  <conditionalFormatting sqref="H55:H56 H71">
    <cfRule type="expression" dxfId="351" priority="14" stopIfTrue="1">
      <formula>"esterreur(reference)"</formula>
    </cfRule>
  </conditionalFormatting>
  <conditionalFormatting sqref="H61:H70">
    <cfRule type="expression" dxfId="350" priority="15" stopIfTrue="1">
      <formula>"esterreur(reference)"</formula>
    </cfRule>
  </conditionalFormatting>
  <conditionalFormatting sqref="H57:H59">
    <cfRule type="expression" dxfId="349" priority="16" stopIfTrue="1">
      <formula>"esterreur(reference)"</formula>
    </cfRule>
  </conditionalFormatting>
  <conditionalFormatting sqref="H60">
    <cfRule type="expression" dxfId="348" priority="17" stopIfTrue="1">
      <formula>"esterreur(reference)"</formula>
    </cfRule>
  </conditionalFormatting>
  <conditionalFormatting sqref="G31:G32">
    <cfRule type="expression" dxfId="347" priority="12" stopIfTrue="1">
      <formula>"esterreur(reference)"</formula>
    </cfRule>
  </conditionalFormatting>
  <conditionalFormatting sqref="I83:I85 I13:I14 I24:I30 I20 I16:I18">
    <cfRule type="expression" dxfId="346" priority="3" stopIfTrue="1">
      <formula>"esterreur(reference)"</formula>
    </cfRule>
  </conditionalFormatting>
  <conditionalFormatting sqref="F83:F85">
    <cfRule type="expression" dxfId="345" priority="2" stopIfTrue="1">
      <formula>"esterreur(reference)"</formula>
    </cfRule>
  </conditionalFormatting>
  <conditionalFormatting sqref="F5">
    <cfRule type="expression" dxfId="344" priority="1" stopIfTrue="1">
      <formula>"esterreur(reference)"</formula>
    </cfRule>
  </conditionalFormatting>
  <printOptions horizontalCentered="1"/>
  <pageMargins left="0.25" right="0.25" top="0.75" bottom="0.75" header="0.3" footer="0.3"/>
  <pageSetup scale="29" orientation="landscape" r:id="rId1"/>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ignoredErrors>
    <ignoredError sqref="AF45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view="pageBreakPreview" topLeftCell="C37" zoomScale="55" zoomScaleNormal="55" zoomScaleSheetLayoutView="55" workbookViewId="0">
      <selection activeCell="L75" sqref="L75"/>
    </sheetView>
  </sheetViews>
  <sheetFormatPr baseColWidth="10" defaultColWidth="12.625" defaultRowHeight="15" customHeight="1"/>
  <cols>
    <col min="1" max="1" width="24.125" style="570" hidden="1" customWidth="1"/>
    <col min="2" max="2" width="36" style="570" hidden="1"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6.37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21.37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bestFit="1" customWidth="1"/>
    <col min="38" max="38" width="17.5" style="570" customWidth="1"/>
    <col min="39" max="39" width="10.875" style="570" customWidth="1"/>
    <col min="40" max="40" width="16" style="570" customWidth="1"/>
    <col min="41" max="41" width="12.375" style="570" customWidth="1"/>
    <col min="42"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AAD,"," ",Parametres!B3," ",Parametres!B4)</f>
        <v>Réalisé AAD, Juillet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c r="Z2" s="570" t="s">
        <v>1946</v>
      </c>
      <c r="AC2" s="570" t="s">
        <v>1946</v>
      </c>
    </row>
    <row r="3" spans="1:54" ht="21" thickTop="1">
      <c r="B3" s="24"/>
      <c r="C3" s="263"/>
      <c r="D3" s="1161" t="s">
        <v>77</v>
      </c>
      <c r="E3" s="1162"/>
      <c r="F3" s="1163"/>
      <c r="G3" s="1164" t="s">
        <v>78</v>
      </c>
      <c r="H3" s="1162"/>
      <c r="I3" s="1163"/>
      <c r="J3" s="1164" t="s">
        <v>79</v>
      </c>
      <c r="K3" s="1162"/>
      <c r="L3" s="1163"/>
      <c r="M3" s="1164" t="s">
        <v>80</v>
      </c>
      <c r="N3" s="1163"/>
      <c r="O3" s="1161" t="s">
        <v>81</v>
      </c>
      <c r="P3" s="1162"/>
      <c r="Q3" s="1163"/>
      <c r="R3" s="1164" t="s">
        <v>82</v>
      </c>
      <c r="S3" s="1165"/>
      <c r="T3" s="25"/>
      <c r="U3" s="25"/>
      <c r="V3" s="968" t="s">
        <v>2881</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2882</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original'!$A$8:$A$496=$A5)*('Budget original'!$C$3:$AO$3=F$2),'Budget original'!$C$8:$AO$496)</f>
        <v>6120657.5956278015</v>
      </c>
      <c r="G5" s="310"/>
      <c r="H5" s="422"/>
      <c r="I5" s="626">
        <f>+SUMPRODUCT(('Budget révisé'!$A$8:$A$496=$A5)*('Budget révisé'!$C$3:$AO$3=I$2),'Budget révisé'!$C$8:$AO$496)</f>
        <v>6120657.5956278015</v>
      </c>
      <c r="J5" s="310"/>
      <c r="K5" s="184"/>
      <c r="L5" s="177">
        <f>-SUMIFS(BV_Data_An_Cour!$P:$P,BV_Data_An_Cour!$X:$X,"Oui",BV_Data_An_Cour!$U:$U,$B5)</f>
        <v>18845741.939999998</v>
      </c>
      <c r="M5" s="423"/>
      <c r="N5" s="424"/>
      <c r="O5" s="310"/>
      <c r="P5" s="184"/>
      <c r="Q5" s="177">
        <f>-SUMIFS(BV_Data_An_Prec!$P:$P,BV_Data_An_Prec!$X:$X,"Oui",BV_Data_An_Prec!$U:$U,$B5)</f>
        <v>18217734.260000002</v>
      </c>
      <c r="R5" s="423"/>
      <c r="S5" s="425"/>
      <c r="T5" s="222"/>
      <c r="U5" s="222"/>
      <c r="V5" s="982" t="s">
        <v>2883</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original'!$A$8:$A$496=$A6)*('Budget original'!$C$3:$AO$3=D$2),'Budget original'!$C$8:$AO$496)</f>
        <v>177.97168093756218</v>
      </c>
      <c r="E6" s="179">
        <f>IF(D6=0,0,F6/D6)</f>
        <v>955.05621789951272</v>
      </c>
      <c r="F6" s="179">
        <f>+SUMPRODUCT(('Budget original'!$A$8:$A$496=$A6)*('Budget original'!$C$3:$AO$3=F$2),'Budget original'!$C$8:$AO$496)</f>
        <v>169972.96048944694</v>
      </c>
      <c r="G6" s="182">
        <f>+SUMPRODUCT(('Budget révisé'!$A$8:$A$496=$A6)*('Budget révisé'!$C$3:$AO$3=G$2),'Budget révisé'!$C$8:$AO$496)</f>
        <v>177.97168093756218</v>
      </c>
      <c r="H6" s="179">
        <f>IF(G6=0,0,I6/G6)</f>
        <v>955.05621789951272</v>
      </c>
      <c r="I6" s="179">
        <f>+SUMPRODUCT(('Budget révisé'!$A$8:$A$496=$A6)*('Budget révisé'!$C$3:$AO$3=I$2),'Budget révisé'!$C$8:$AO$496)</f>
        <v>169972.96048944694</v>
      </c>
      <c r="J6" s="182">
        <f>-SUMIFS(BV_Data_An_Cour!$P:$P,BV_Data_An_Cour!$U:$U,$B6,BV_Data_An_Cour!$V:$V,$C6,BV_Data_An_Cour!$W:$W,J$2)</f>
        <v>150</v>
      </c>
      <c r="K6" s="179">
        <f>IF(J6=0,0,L6/J6)</f>
        <v>1030.7103333333337</v>
      </c>
      <c r="L6" s="554">
        <f>-SUMIFS(BV_Data_An_Cour!$P:$P,BV_Data_An_Cour!$U:$U,$B6,BV_Data_An_Cour!$V:$V,$C6,BV_Data_An_Cour!$W:$W,L$2)</f>
        <v>154606.55000000005</v>
      </c>
      <c r="M6" s="182">
        <f t="shared" ref="M6" si="2">J6-G6</f>
        <v>-27.971680937562184</v>
      </c>
      <c r="N6" s="180">
        <f>L6-I6</f>
        <v>-15366.410489446891</v>
      </c>
      <c r="O6" s="1038">
        <f>-SUMIFS(BV_Data_An_Prec!$P:$P,BV_Data_An_Prec!$U:$U,$B6,BV_Data_An_Prec!$V:$V,$C6,BV_Data_An_Prec!$W:$W,O$2)</f>
        <v>290</v>
      </c>
      <c r="P6" s="179">
        <f>IF(O6=0,0,Q6/O6)</f>
        <v>596.26903448275687</v>
      </c>
      <c r="Q6" s="554">
        <f>-SUMIFS(BV_Data_An_Prec!$P:$P,BV_Data_An_Prec!$U:$U,$B6,BV_Data_An_Prec!$V:$V,$C6,BV_Data_An_Prec!$W:$W,Q$2)</f>
        <v>172918.01999999949</v>
      </c>
      <c r="R6" s="182">
        <f t="shared" ref="R6" si="3">J6-O6</f>
        <v>-140</v>
      </c>
      <c r="S6" s="399">
        <f t="shared" ref="S6" si="4">L6-Q6</f>
        <v>-18311.469999999448</v>
      </c>
      <c r="T6" s="222"/>
      <c r="U6" s="222"/>
      <c r="V6" s="982" t="s">
        <v>2884</v>
      </c>
      <c r="W6" s="983">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original'!$A$8:$A$496=$A7)*('Budget original'!$C$3:$AO$3=D$2),'Budget original'!$C$8:$AO$496)</f>
        <v>239.05767043428321</v>
      </c>
      <c r="E7" s="179">
        <f t="shared" ref="E7:E12" si="6">IF(D7=0,0,F7/D7)</f>
        <v>1702.6668817908314</v>
      </c>
      <c r="F7" s="179">
        <f>+SUMPRODUCT(('Budget original'!$A$8:$A$496=$A7)*('Budget original'!$C$3:$AO$3=F$2),'Budget original'!$C$8:$AO$496)</f>
        <v>407035.57828652125</v>
      </c>
      <c r="G7" s="182">
        <f>+SUMPRODUCT(('Budget révisé'!$A$8:$A$496=$A7)*('Budget révisé'!$C$3:$AO$3=G$2),'Budget révisé'!$C$8:$AO$496)</f>
        <v>239.05767043428321</v>
      </c>
      <c r="H7" s="179">
        <f t="shared" ref="H7:H12" si="7">IF(G7=0,0,I7/G7)</f>
        <v>1702.6668817908314</v>
      </c>
      <c r="I7" s="179">
        <f>+SUMPRODUCT(('Budget révisé'!$A$8:$A$496=$A7)*('Budget révisé'!$C$3:$AO$3=I$2),'Budget révisé'!$C$8:$AO$496)</f>
        <v>407035.57828652125</v>
      </c>
      <c r="J7" s="182">
        <f>-SUMIFS(BV_Data_An_Cour!$P:$P,BV_Data_An_Cour!$U:$U,$B7,BV_Data_An_Cour!$V:$V,$C7,BV_Data_An_Cour!$W:$W,J$2)</f>
        <v>239</v>
      </c>
      <c r="K7" s="179">
        <f t="shared" ref="K7:K12" si="8">IF(J7=0,0,L7/J7)</f>
        <v>2180.0417573221739</v>
      </c>
      <c r="L7" s="554">
        <f>-SUMIFS(BV_Data_An_Cour!$P:$P,BV_Data_An_Cour!$U:$U,$B7,BV_Data_An_Cour!$V:$V,$C7,BV_Data_An_Cour!$W:$W,L$2)</f>
        <v>521029.97999999952</v>
      </c>
      <c r="M7" s="182">
        <f t="shared" ref="M7:M12" si="9">J7-G7</f>
        <v>-5.767043428321017E-2</v>
      </c>
      <c r="N7" s="180">
        <f t="shared" ref="N7:N12" si="10">L7-I7</f>
        <v>113994.40171347826</v>
      </c>
      <c r="O7" s="182">
        <f>-SUMIFS(BV_Data_An_Prec!$P:$P,BV_Data_An_Prec!$U:$U,$B7,BV_Data_An_Prec!$V:$V,$C7,BV_Data_An_Prec!$W:$W,O$2)</f>
        <v>184</v>
      </c>
      <c r="P7" s="179">
        <f t="shared" ref="P7:P12" si="11">IF(O7=0,0,Q7/O7)</f>
        <v>738.18788043477912</v>
      </c>
      <c r="Q7" s="554">
        <f>-SUMIFS(BV_Data_An_Prec!$P:$P,BV_Data_An_Prec!$U:$U,$B7,BV_Data_An_Prec!$V:$V,$C7,BV_Data_An_Prec!$W:$W,Q$2)</f>
        <v>135826.56999999937</v>
      </c>
      <c r="R7" s="182">
        <f t="shared" ref="R7:R12" si="12">J7-O7</f>
        <v>55</v>
      </c>
      <c r="S7" s="399">
        <f t="shared" ref="S7:S12" si="13">L7-Q7</f>
        <v>385203.41000000015</v>
      </c>
      <c r="T7" s="222"/>
      <c r="U7" s="222"/>
      <c r="V7" s="968" t="s">
        <v>2885</v>
      </c>
      <c r="W7" s="981">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original'!$A$8:$A$496=$A8)*('Budget original'!$C$3:$AO$3=D$2),'Budget original'!$C$8:$AO$496)</f>
        <v>0</v>
      </c>
      <c r="E8" s="179">
        <f t="shared" si="6"/>
        <v>0</v>
      </c>
      <c r="F8" s="179">
        <f>+SUMPRODUCT(('Budget original'!$A$8:$A$496=$A8)*('Budget original'!$C$3:$AO$3=F$2),'Budget original'!$C$8:$AO$496)</f>
        <v>0</v>
      </c>
      <c r="G8" s="182">
        <f>+SUMPRODUCT(('Budget révisé'!$A$8:$A$496=$A8)*('Budget révisé'!$C$3:$AO$3=G$2),'Budget révisé'!$C$8:$AO$496)</f>
        <v>0</v>
      </c>
      <c r="H8" s="179">
        <f t="shared" si="7"/>
        <v>0</v>
      </c>
      <c r="I8" s="179">
        <f>+SUMPRODUCT(('Budget révisé'!$A$8:$A$496=$A8)*('Budget révisé'!$C$3:$AO$3=I$2),'Budget révisé'!$C$8:$AO$496)</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original'!$A$8:$A$496=$A9)*('Budget original'!$C$3:$AO$3=D$2),'Budget original'!$C$8:$AO$496)</f>
        <v>0</v>
      </c>
      <c r="E9" s="179">
        <f t="shared" si="6"/>
        <v>0</v>
      </c>
      <c r="F9" s="179">
        <f>+SUMPRODUCT(('Budget original'!$A$8:$A$496=$A9)*('Budget original'!$C$3:$AO$3=F$2),'Budget original'!$C$8:$AO$496)</f>
        <v>0</v>
      </c>
      <c r="G9" s="182">
        <f>+SUMPRODUCT(('Budget révisé'!$A$8:$A$496=$A9)*('Budget révisé'!$C$3:$AO$3=G$2),'Budget révisé'!$C$8:$AO$496)</f>
        <v>0</v>
      </c>
      <c r="H9" s="179">
        <f t="shared" si="7"/>
        <v>0</v>
      </c>
      <c r="I9" s="179">
        <f>+SUMPRODUCT(('Budget révisé'!$A$8:$A$496=$A9)*('Budget révisé'!$C$3:$AO$3=I$2),'Budget révisé'!$C$8:$AO$496)</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original'!$A$8:$A$496=$A10)*('Budget original'!$C$3:$AO$3=D$2),'Budget original'!$C$8:$AO$496)</f>
        <v>0</v>
      </c>
      <c r="E10" s="179">
        <f t="shared" si="6"/>
        <v>0</v>
      </c>
      <c r="F10" s="179">
        <f>+SUMPRODUCT(('Budget original'!$A$8:$A$496=$A10)*('Budget original'!$C$3:$AO$3=F$2),'Budget original'!$C$8:$AO$496)</f>
        <v>0</v>
      </c>
      <c r="G10" s="182">
        <f>+SUMPRODUCT(('Budget révisé'!$A$8:$A$496=$A10)*('Budget révisé'!$C$3:$AO$3=G$2),'Budget révisé'!$C$8:$AO$496)</f>
        <v>0</v>
      </c>
      <c r="H10" s="179">
        <f t="shared" si="7"/>
        <v>0</v>
      </c>
      <c r="I10" s="179">
        <f>+SUMPRODUCT(('Budget révisé'!$A$8:$A$496=$A10)*('Budget révisé'!$C$3:$AO$3=I$2),'Budget révisé'!$C$8:$AO$496)</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original'!$A$8:$A$496=$A11)*('Budget original'!$C$3:$AO$3=D$2),'Budget original'!$C$8:$AO$496)</f>
        <v>0</v>
      </c>
      <c r="E11" s="179">
        <f t="shared" si="6"/>
        <v>0</v>
      </c>
      <c r="F11" s="179">
        <f>+SUMPRODUCT(('Budget original'!$A$8:$A$496=$A11)*('Budget original'!$C$3:$AO$3=F$2),'Budget original'!$C$8:$AO$496)</f>
        <v>0</v>
      </c>
      <c r="G11" s="182">
        <f>+SUMPRODUCT(('Budget révisé'!$A$8:$A$496=$A11)*('Budget révisé'!$C$3:$AO$3=G$2),'Budget révisé'!$C$8:$AO$496)</f>
        <v>0</v>
      </c>
      <c r="H11" s="179">
        <f t="shared" si="7"/>
        <v>0</v>
      </c>
      <c r="I11" s="179">
        <f>+SUMPRODUCT(('Budget révisé'!$A$8:$A$496=$A11)*('Budget révisé'!$C$3:$AO$3=I$2),'Budget révisé'!$C$8:$AO$496)</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original'!$A$8:$A$496=$A12)*('Budget original'!$C$3:$AO$3=D$2),'Budget original'!$C$8:$AO$496)</f>
        <v>0</v>
      </c>
      <c r="E12" s="179">
        <f t="shared" si="6"/>
        <v>0</v>
      </c>
      <c r="F12" s="179">
        <f>+SUMPRODUCT(('Budget original'!$A$8:$A$496=$A12)*('Budget original'!$C$3:$AO$3=F$2),'Budget original'!$C$8:$AO$496)</f>
        <v>0</v>
      </c>
      <c r="G12" s="182">
        <f>+SUMPRODUCT(('Budget révisé'!$A$8:$A$496=$A12)*('Budget révisé'!$C$3:$AO$3=G$2),'Budget révisé'!$C$8:$AO$496)</f>
        <v>0</v>
      </c>
      <c r="H12" s="179">
        <f t="shared" si="7"/>
        <v>0</v>
      </c>
      <c r="I12" s="179">
        <f>+SUMPRODUCT(('Budget révisé'!$A$8:$A$496=$A12)*('Budget révisé'!$C$3:$AO$3=I$2),'Budget révisé'!$C$8:$AO$496)</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417.02935137184539</v>
      </c>
      <c r="E13" s="401">
        <f>IF(D13&lt;=0,0,F13/D13)</f>
        <v>1383.6161336794657</v>
      </c>
      <c r="F13" s="402">
        <f>+SUM(F6:F12)</f>
        <v>577008.53877596813</v>
      </c>
      <c r="G13" s="403">
        <f>+SUM(G6:G12)</f>
        <v>417.02935137184539</v>
      </c>
      <c r="H13" s="401">
        <f>IF(G13&lt;=0,0,I13/G13)</f>
        <v>1383.6161336794657</v>
      </c>
      <c r="I13" s="402">
        <f>+SUM(I6:I12)</f>
        <v>577008.53877596813</v>
      </c>
      <c r="J13" s="403">
        <f>+SUM(J6:J12)</f>
        <v>389</v>
      </c>
      <c r="K13" s="401">
        <f>IF(J13&lt;=0,0,L13/J13)</f>
        <v>1736.8548329048831</v>
      </c>
      <c r="L13" s="402">
        <f>+SUM(L6:L12)</f>
        <v>675636.52999999956</v>
      </c>
      <c r="M13" s="403">
        <f>+SUM(M6:M12)</f>
        <v>-28.029351371845394</v>
      </c>
      <c r="N13" s="402">
        <f>+SUM(N6:N12)</f>
        <v>98627.991224031372</v>
      </c>
      <c r="O13" s="403">
        <f>+SUM(O6:O12)</f>
        <v>474</v>
      </c>
      <c r="P13" s="401">
        <f>IF(O13&lt;=0,0,Q13/O13)</f>
        <v>651.35989451476553</v>
      </c>
      <c r="Q13" s="402">
        <f>+SUM(Q6:Q12)</f>
        <v>308744.58999999886</v>
      </c>
      <c r="R13" s="403">
        <f>+SUM(R6:R12)</f>
        <v>-85</v>
      </c>
      <c r="S13" s="404">
        <f>+SUM(S6:S12)</f>
        <v>366891.9400000007</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-6.7211939110858751E-2</v>
      </c>
      <c r="N14" s="332">
        <f>IF(I13=0,0,N13/I13)</f>
        <v>0.17092986428459961</v>
      </c>
      <c r="O14" s="303"/>
      <c r="P14" s="179"/>
      <c r="Q14" s="312"/>
      <c r="R14" s="362">
        <f>R13/O13</f>
        <v>-0.17932489451476794</v>
      </c>
      <c r="S14" s="333">
        <f>IF(Q13=0,0,(S13/Q13))</f>
        <v>1.1883347980283705</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original'!$A$8:$A$496=$A15)*('Budget original'!$C$3:$AO$3=D$2),'Budget original'!$C$8:$AO$496)</f>
        <v>43.465030988051488</v>
      </c>
      <c r="E15" s="184">
        <f t="shared" ref="E15" si="15">IF(D15=0,0,F15/D15)</f>
        <v>790.03378359300484</v>
      </c>
      <c r="F15" s="177">
        <f>+SUMPRODUCT(('Budget original'!$A$8:$A$496=$A15)*('Budget original'!$C$3:$AO$3=F$2),'Budget original'!$C$8:$AO$496)</f>
        <v>34338.842885477519</v>
      </c>
      <c r="G15" s="183">
        <f>+SUMPRODUCT(('Budget révisé'!$A$8:$A$496=$A15)*('Budget révisé'!$C$3:$AO$3=G$2),'Budget révisé'!$C$8:$AO$496)</f>
        <v>43.465030988051488</v>
      </c>
      <c r="H15" s="407">
        <f t="shared" ref="H15" si="16">IF(G15=0,0,I15/G15)</f>
        <v>790.03378359300484</v>
      </c>
      <c r="I15" s="405">
        <f>+SUMPRODUCT(('Budget révisé'!$A$8:$A$496=$A15)*('Budget révisé'!$C$3:$AO$3=I$2),'Budget révisé'!$C$8:$AO$496)</f>
        <v>34338.842885477519</v>
      </c>
      <c r="J15" s="548">
        <f>-SUMIFS(BV_Data_An_Cour!$P:$P,BV_Data_An_Cour!$U:$U,$B15,BV_Data_An_Cour!$V:$V,$C15,BV_Data_An_Cour!$W:$W,J$2)</f>
        <v>46</v>
      </c>
      <c r="K15" s="549">
        <f>IF(J15=0,0,L15/J15)</f>
        <v>1095.715434782607</v>
      </c>
      <c r="L15" s="549">
        <f>-SUMIFS(BV_Data_An_Cour!$P:$P,BV_Data_An_Cour!$U:$U,$B15,BV_Data_An_Cour!$V:$V,$C15,BV_Data_An_Cour!$W:$W,L$2)</f>
        <v>50402.909999999916</v>
      </c>
      <c r="M15" s="406">
        <f>J15-G15</f>
        <v>2.5349690119485118</v>
      </c>
      <c r="N15" s="405">
        <f>L15-I15</f>
        <v>16064.067114522397</v>
      </c>
      <c r="O15" s="548">
        <f>-SUMIFS(BV_Data_An_Prec!$P:$P,BV_Data_An_Prec!$U:$U,$B15,BV_Data_An_Prec!$V:$V,$C15,BV_Data_An_Prec!$W:$W,O$2)</f>
        <v>23</v>
      </c>
      <c r="P15" s="549">
        <f>IF(O15=0,0,Q15/O15)</f>
        <v>249.27086956521657</v>
      </c>
      <c r="Q15" s="549">
        <f>-SUMIFS(BV_Data_An_Prec!$P:$P,BV_Data_An_Prec!$U:$U,$B15,BV_Data_An_Prec!$V:$V,$C15,BV_Data_An_Prec!$W:$W,Q$2)</f>
        <v>5733.2299999999814</v>
      </c>
      <c r="R15" s="406">
        <f>J15-O15</f>
        <v>23</v>
      </c>
      <c r="S15" s="427">
        <f>L15-Q15</f>
        <v>44669.679999999935</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original'!$A$8:$A$496=$A17)*('Budget original'!$C$3:$AO$3=D$2),'Budget original'!$C$8:$AO$496)</f>
        <v>13.812500508878921</v>
      </c>
      <c r="E17" s="179">
        <f t="shared" ref="E17" si="17">IF(D17=0,0,F17/D17)</f>
        <v>800.00000000000011</v>
      </c>
      <c r="F17" s="179">
        <f>+SUMPRODUCT(('Budget original'!$A$8:$A$496=$A17)*('Budget original'!$C$3:$AO$3=F$2),'Budget original'!$C$8:$AO$496)</f>
        <v>11050.000407103138</v>
      </c>
      <c r="G17" s="182">
        <f>+SUMPRODUCT(('Budget révisé'!$A$8:$A$496=$A17)*('Budget révisé'!$C$3:$AO$3=G$2),'Budget révisé'!$C$8:$AO$496)</f>
        <v>13.812500508878921</v>
      </c>
      <c r="H17" s="179">
        <f t="shared" ref="H17" si="18">IF(G17=0,0,I17/G17)</f>
        <v>800.00000000000011</v>
      </c>
      <c r="I17" s="179">
        <f>+SUMPRODUCT(('Budget révisé'!$A$8:$A$496=$A17)*('Budget révisé'!$C$3:$AO$3=I$2),'Budget révisé'!$C$8:$AO$496)</f>
        <v>11050.000407103138</v>
      </c>
      <c r="J17" s="406">
        <f>-SUMIFS(BV_Data_An_Cour!$P:$P,BV_Data_An_Cour!$U:$U,$B17,BV_Data_An_Cour!$V:$V,$C17,BV_Data_An_Cour!$W:$W,J$2)</f>
        <v>18</v>
      </c>
      <c r="K17" s="179">
        <f>IF(J17=0,0,L17/J17)</f>
        <v>1776.9600000000016</v>
      </c>
      <c r="L17" s="180">
        <f>-SUMIFS(BV_Data_An_Cour!$P:$P,BV_Data_An_Cour!$U:$U,$B17,BV_Data_An_Cour!$V:$V,$C17,BV_Data_An_Cour!$W:$W,L$2)</f>
        <v>31985.280000000028</v>
      </c>
      <c r="M17" s="406">
        <f>J17-G17</f>
        <v>4.1874994911210788</v>
      </c>
      <c r="N17" s="180">
        <f>L17-I17</f>
        <v>20935.279592896892</v>
      </c>
      <c r="O17" s="406">
        <f>-SUMIFS(BV_Data_An_Prec!$P:$P,BV_Data_An_Prec!$U:$U,$B17,BV_Data_An_Prec!$V:$V,$C17,BV_Data_An_Prec!$W:$W,O$2)</f>
        <v>7</v>
      </c>
      <c r="P17" s="179">
        <f>IF(O17=0,0,Q17/O17)</f>
        <v>1041.9214285714302</v>
      </c>
      <c r="Q17" s="180">
        <f>-SUMIFS(BV_Data_An_Prec!$P:$P,BV_Data_An_Prec!$U:$U,$B17,BV_Data_An_Prec!$V:$V,$C17,BV_Data_An_Prec!$W:$W,Q$2)</f>
        <v>7293.4500000000116</v>
      </c>
      <c r="R17" s="182">
        <f>J17-O17</f>
        <v>11</v>
      </c>
      <c r="S17" s="399">
        <f>L17-Q17</f>
        <v>24691.830000000016</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original'!$A$8:$A$496=$A19)*('Budget original'!$C$3:$AO$3=D$2),'Budget original'!$C$8:$AO$496)</f>
        <v>0</v>
      </c>
      <c r="E19" s="179">
        <f t="shared" ref="E19" si="19">IF(D19=0,0,F19/D19)</f>
        <v>0</v>
      </c>
      <c r="F19" s="179">
        <f>+SUMPRODUCT(('Budget original'!$A$8:$A$496=$A19)*('Budget original'!$C$3:$AO$3=F$2),'Budget original'!$C$8:$AO$496)</f>
        <v>35000</v>
      </c>
      <c r="G19" s="182">
        <f>+SUMPRODUCT(('Budget révisé'!$A$8:$A$496=$A19)*('Budget révisé'!$C$3:$AO$3=G$2),'Budget révisé'!$C$8:$AO$496)</f>
        <v>0</v>
      </c>
      <c r="H19" s="179">
        <f t="shared" ref="H19" si="20">IF(G19=0,0,I19/G19)</f>
        <v>0</v>
      </c>
      <c r="I19" s="179">
        <f>+SUMPRODUCT(('Budget révisé'!$A$8:$A$496=$A19)*('Budget révisé'!$C$3:$AO$3=I$2),'Budget révisé'!$C$8:$AO$496)</f>
        <v>35000</v>
      </c>
      <c r="J19" s="183"/>
      <c r="K19" s="179"/>
      <c r="L19" s="180">
        <f>-SUMIFS(BV_Data_An_Cour!$P:$P,BV_Data_An_Cour!$U:$U,$B19,BV_Data_An_Cour!$V:$V,$C19,BV_Data_An_Cour!$W:$W,L$2)</f>
        <v>38801.770000000019</v>
      </c>
      <c r="M19" s="182"/>
      <c r="N19" s="180">
        <f>L19-I19</f>
        <v>3801.7700000000186</v>
      </c>
      <c r="O19" s="183"/>
      <c r="P19" s="179"/>
      <c r="Q19" s="180">
        <f>-SUMIFS(BV_Data_An_Prec!$P:$P,BV_Data_An_Prec!$U:$U,$B19,BV_Data_An_Prec!$V:$V,$C19,BV_Data_An_Prec!$W:$W,Q$2)</f>
        <v>38448.640000000014</v>
      </c>
      <c r="R19" s="182">
        <f>O19-K19</f>
        <v>0</v>
      </c>
      <c r="S19" s="399">
        <f>L19-Q19</f>
        <v>353.13000000000466</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original'!$A$8:$A$496=$A21)*('Budget original'!$C$3:$AO$3=D$2),'Budget original'!$C$8:$AO$496)</f>
        <v>0</v>
      </c>
      <c r="E21" s="179">
        <f t="shared" ref="E21:E23" si="21">IF(D21=0,0,F21/D21)</f>
        <v>0</v>
      </c>
      <c r="F21" s="179">
        <f>+SUMPRODUCT(('Budget original'!$A$8:$A$496=$A21)*('Budget original'!$C$3:$AO$3=F$2),'Budget original'!$C$8:$AO$496)</f>
        <v>43323.21666732106</v>
      </c>
      <c r="G21" s="303">
        <f>+SUMPRODUCT(('Budget révisé'!$A$8:$A$496=$A21)*('Budget révisé'!$C$3:$AO$3=G$2),'Budget révisé'!$C$8:$AO$496)</f>
        <v>0</v>
      </c>
      <c r="H21" s="179">
        <f t="shared" ref="H21:H23" si="22">IF(G21=0,0,I21/G21)</f>
        <v>0</v>
      </c>
      <c r="I21" s="179">
        <f>+SUMPRODUCT(('Budget révisé'!$A$8:$A$496=$A21)*('Budget révisé'!$C$3:$AO$3=I$2),'Budget révisé'!$C$8:$AO$496)</f>
        <v>43323.21666732106</v>
      </c>
      <c r="J21" s="182"/>
      <c r="K21" s="179">
        <f>IF(J13=0,0,L21/(J13+J15))</f>
        <v>15.600459770114941</v>
      </c>
      <c r="L21" s="180">
        <f>-SUMIFS(BV_Data_An_Cour!$P:$P,BV_Data_An_Cour!$U:$U,$B21,BV_Data_An_Cour!$V:$V,$C21,BV_Data_An_Cour!$W:$W,L$2)</f>
        <v>6786.2</v>
      </c>
      <c r="M21" s="182"/>
      <c r="N21" s="180">
        <f t="shared" ref="N21:N24" si="23">L21-I21</f>
        <v>-36537.016667321062</v>
      </c>
      <c r="O21" s="182"/>
      <c r="P21" s="179">
        <f>IF(O13=0,0,Q21/(O13+O15))</f>
        <v>102.18851106639839</v>
      </c>
      <c r="Q21" s="180">
        <f>-SUMIFS(BV_Data_An_Prec!$P:$P,BV_Data_An_Prec!$U:$U,$B21,BV_Data_An_Prec!$V:$V,$C21,BV_Data_An_Prec!$W:$W,Q$2)</f>
        <v>50787.69</v>
      </c>
      <c r="R21" s="182">
        <f t="shared" ref="R21:R23" si="24">O21-K21</f>
        <v>-15.600459770114941</v>
      </c>
      <c r="S21" s="399">
        <f t="shared" ref="S21:S24" si="25">L21-Q21</f>
        <v>-44001.490000000005</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original'!$A$8:$A$496=$A22)*('Budget original'!$C$3:$AO$3=D$2),'Budget original'!$C$8:$AO$496)</f>
        <v>0</v>
      </c>
      <c r="E22" s="179">
        <f t="shared" si="21"/>
        <v>0</v>
      </c>
      <c r="F22" s="179">
        <f>+SUMPRODUCT(('Budget original'!$A$8:$A$496=$A22)*('Budget original'!$C$3:$AO$3=F$2),'Budget original'!$C$8:$AO$496)</f>
        <v>339533.11667179526</v>
      </c>
      <c r="G22" s="303">
        <f>+SUMPRODUCT(('Budget révisé'!$A$8:$A$496=$A22)*('Budget révisé'!$C$3:$AO$3=G$2),'Budget révisé'!$C$8:$AO$496)</f>
        <v>0</v>
      </c>
      <c r="H22" s="179">
        <f t="shared" si="22"/>
        <v>0</v>
      </c>
      <c r="I22" s="179">
        <f>+SUMPRODUCT(('Budget révisé'!$A$8:$A$496=$A22)*('Budget révisé'!$C$3:$AO$3=I$2),'Budget révisé'!$C$8:$AO$496)</f>
        <v>339533.11667179526</v>
      </c>
      <c r="J22" s="182"/>
      <c r="K22" s="179">
        <f>IF(J13=0,0,L22/(J13+J15))</f>
        <v>758.63241379310341</v>
      </c>
      <c r="L22" s="180">
        <f>-SUMIFS(BV_Data_An_Cour!$P:$P,BV_Data_An_Cour!$U:$U,$B22,BV_Data_An_Cour!$V:$V,$C22,BV_Data_An_Cour!$W:$W,L$2)</f>
        <v>330005.09999999998</v>
      </c>
      <c r="M22" s="182"/>
      <c r="N22" s="180">
        <f t="shared" si="23"/>
        <v>-9528.0166717952816</v>
      </c>
      <c r="O22" s="182"/>
      <c r="P22" s="179">
        <f>IF(O13=0,0,Q22/(O13+O15))</f>
        <v>534.35515090543265</v>
      </c>
      <c r="Q22" s="180">
        <f>-SUMIFS(BV_Data_An_Prec!$P:$P,BV_Data_An_Prec!$U:$U,$B22,BV_Data_An_Prec!$V:$V,$C22,BV_Data_An_Prec!$W:$W,Q$2)</f>
        <v>265574.51</v>
      </c>
      <c r="R22" s="182">
        <f t="shared" si="24"/>
        <v>-758.63241379310341</v>
      </c>
      <c r="S22" s="399">
        <f t="shared" si="25"/>
        <v>64430.589999999967</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original'!$A$8:$A$496=$A23)*('Budget original'!$C$3:$AO$3=D$2),'Budget original'!$C$8:$AO$496)</f>
        <v>0</v>
      </c>
      <c r="E23" s="179">
        <f t="shared" si="21"/>
        <v>0</v>
      </c>
      <c r="F23" s="179">
        <f>+SUMPRODUCT(('Budget original'!$A$8:$A$496=$A23)*('Budget original'!$C$3:$AO$3=F$2),'Budget original'!$C$8:$AO$496)</f>
        <v>8563.8916667960239</v>
      </c>
      <c r="G23" s="303">
        <f>+SUMPRODUCT(('Budget révisé'!$A$8:$A$496=$A23)*('Budget révisé'!$C$3:$AO$3=G$2),'Budget révisé'!$C$8:$AO$496)</f>
        <v>0</v>
      </c>
      <c r="H23" s="179">
        <f t="shared" si="22"/>
        <v>0</v>
      </c>
      <c r="I23" s="179">
        <f>+SUMPRODUCT(('Budget révisé'!$A$8:$A$496=$A23)*('Budget révisé'!$C$3:$AO$3=I$2),'Budget révisé'!$C$8:$AO$496)</f>
        <v>8563.8916667960239</v>
      </c>
      <c r="J23" s="182"/>
      <c r="K23" s="179">
        <f>IF(J13=0,0,L23/(J13+J15))</f>
        <v>23.460712643678161</v>
      </c>
      <c r="L23" s="180">
        <f>-SUMIFS(BV_Data_An_Cour!$P:$P,BV_Data_An_Cour!$U:$U,$B23,BV_Data_An_Cour!$V:$V,$C23,BV_Data_An_Cour!$W:$W,L$2)</f>
        <v>10205.41</v>
      </c>
      <c r="M23" s="406"/>
      <c r="N23" s="180">
        <f t="shared" si="23"/>
        <v>1641.518333203976</v>
      </c>
      <c r="O23" s="182"/>
      <c r="P23" s="179">
        <f>IF(O13=0,0,Q23/(O13+O15))</f>
        <v>28.277505030181086</v>
      </c>
      <c r="Q23" s="180">
        <f>-SUMIFS(BV_Data_An_Prec!$P:$P,BV_Data_An_Prec!$U:$U,$B23,BV_Data_An_Prec!$V:$V,$C23,BV_Data_An_Prec!$W:$W,Q$2)</f>
        <v>14053.92</v>
      </c>
      <c r="R23" s="182">
        <f t="shared" si="24"/>
        <v>-23.460712643678161</v>
      </c>
      <c r="S23" s="399">
        <f t="shared" si="25"/>
        <v>-3848.51</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460.49438235989686</v>
      </c>
      <c r="E24" s="401">
        <f>IF(D24&lt;=0,0,F24/D24)</f>
        <v>849.99999999999989</v>
      </c>
      <c r="F24" s="402">
        <f>F21+F22+F23</f>
        <v>391420.2250059123</v>
      </c>
      <c r="G24" s="403">
        <f>+G15+G13</f>
        <v>460.49438235989686</v>
      </c>
      <c r="H24" s="401">
        <f>IF(G24&lt;=0,0,I24/G24)</f>
        <v>849.99999999999989</v>
      </c>
      <c r="I24" s="402">
        <f>I21+I22+I23</f>
        <v>391420.2250059123</v>
      </c>
      <c r="J24" s="403">
        <f>+J15+J13</f>
        <v>435</v>
      </c>
      <c r="K24" s="401">
        <f>IF(J24&lt;=0,0,L24/J24)</f>
        <v>797.6935862068965</v>
      </c>
      <c r="L24" s="402">
        <f>L21+L22+L23</f>
        <v>346996.70999999996</v>
      </c>
      <c r="M24" s="431">
        <f>J24-G24</f>
        <v>-25.494382359896861</v>
      </c>
      <c r="N24" s="402">
        <f t="shared" si="23"/>
        <v>-44423.515005912341</v>
      </c>
      <c r="O24" s="403">
        <f>+O15+O13</f>
        <v>497</v>
      </c>
      <c r="P24" s="401">
        <f>IF(O24&lt;=0,0,Q24/O24)</f>
        <v>664.82116700201209</v>
      </c>
      <c r="Q24" s="402">
        <f>Q21+Q22+Q23</f>
        <v>330416.12</v>
      </c>
      <c r="R24" s="411"/>
      <c r="S24" s="404">
        <f t="shared" si="25"/>
        <v>16580.589999999967</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-0.11349315177886206</v>
      </c>
      <c r="O25" s="303"/>
      <c r="P25" s="178"/>
      <c r="Q25" s="304"/>
      <c r="R25" s="325"/>
      <c r="S25" s="333">
        <f>IF(Q24=0,0,(S24/Q24))</f>
        <v>5.018093548220337E-2</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474.3068828687758</v>
      </c>
      <c r="E27" s="27">
        <f>IF(D27&lt;=0,0,F27/D27)</f>
        <v>2211.2637302053072</v>
      </c>
      <c r="F27" s="28">
        <f>F13+F17+F24+F19+F15</f>
        <v>1048817.6070744609</v>
      </c>
      <c r="G27" s="29">
        <f>+G13+G15+G17</f>
        <v>474.3068828687758</v>
      </c>
      <c r="H27" s="30">
        <f>IF(G27&lt;=0,0,I27/G27)</f>
        <v>2211.2637302053072</v>
      </c>
      <c r="I27" s="28">
        <f>I13+I17+I24+I19+I15</f>
        <v>1048817.6070744609</v>
      </c>
      <c r="J27" s="29">
        <f>+J13+J15+J17</f>
        <v>453</v>
      </c>
      <c r="K27" s="30">
        <f>IF(J27&lt;=0,0,L27/J27)</f>
        <v>2524.9960264900651</v>
      </c>
      <c r="L27" s="28">
        <f>L13+L17+L24+L19+L15</f>
        <v>1143823.1999999995</v>
      </c>
      <c r="M27" s="29">
        <f>J27-G27</f>
        <v>-21.306882868775801</v>
      </c>
      <c r="N27" s="28">
        <f>L27-I27</f>
        <v>95005.592925538542</v>
      </c>
      <c r="O27" s="29">
        <f>+O13+O15+O17</f>
        <v>504</v>
      </c>
      <c r="P27" s="30">
        <f>IF(O27&lt;=0,0,Q27/O27)</f>
        <v>1370.3095833333311</v>
      </c>
      <c r="Q27" s="28">
        <f>Q13+Q17+Q24+Q19+Q15</f>
        <v>690636.02999999886</v>
      </c>
      <c r="R27" s="29">
        <f>J27-O27</f>
        <v>-51</v>
      </c>
      <c r="S27" s="363">
        <f>L27-Q27</f>
        <v>453187.17000000062</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-4.4922145636816901E-2</v>
      </c>
      <c r="N28" s="34">
        <f>N27/I27</f>
        <v>9.0583522134553188E-2</v>
      </c>
      <c r="O28" s="31"/>
      <c r="P28" s="365"/>
      <c r="Q28" s="32"/>
      <c r="R28" s="33">
        <f>R27/O27</f>
        <v>-0.10119047619047619</v>
      </c>
      <c r="S28" s="272">
        <f>IF(Q27=0,0,S27/Q27)</f>
        <v>0.65618813718711055</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385.91868139969841</v>
      </c>
      <c r="F31" s="179">
        <f>+SUMPRODUCT(('Budget original'!$A$8:$A$496=$A31)*('Budget original'!$C$3:$AO$3=F$2),'Budget original'!$C$8:$AO$496)</f>
        <v>177713.38483229993</v>
      </c>
      <c r="G31" s="302"/>
      <c r="H31" s="197">
        <f t="shared" ref="H31:H36" si="27">I31/G$24</f>
        <v>385.91868139969841</v>
      </c>
      <c r="I31" s="179">
        <f>+SUMPRODUCT(('Budget révisé'!$A$8:$A$496=$A31)*('Budget révisé'!$C$3:$AO$3=I$2),'Budget révisé'!$C$8:$AO$496)</f>
        <v>177713.38483229993</v>
      </c>
      <c r="J31" s="975">
        <f>L31/(L13+L15+L17)</f>
        <v>0.34810178749843435</v>
      </c>
      <c r="K31" s="197">
        <f t="shared" ref="K31:K36" si="28">IF(L31=0,0,L31/J$24)</f>
        <v>606.5971494252874</v>
      </c>
      <c r="L31" s="179">
        <f>SUMIFS(BV_Data_An_Cour!$P:$P,BV_Data_An_Cour!$U:$U,$B31,BV_Data_An_Cour!$V:$V,$C31,BV_Data_An_Cour!$W:$W,L$2)</f>
        <v>263869.76</v>
      </c>
      <c r="M31" s="303"/>
      <c r="N31" s="304">
        <f t="shared" ref="N31:N53" si="29">L31-I31</f>
        <v>86156.375167700084</v>
      </c>
      <c r="O31" s="303"/>
      <c r="P31" s="197">
        <f t="shared" ref="P31:P36" si="30">IF(Q31=0,0,Q31/O$24)</f>
        <v>448.25758551307842</v>
      </c>
      <c r="Q31" s="180">
        <f>SUMIFS(BV_Data_An_Prec!$P:$P,BV_Data_An_Prec!$U:$U,$B31,BV_Data_An_Prec!$V:$V,$C31,BV_Data_An_Prec!$W:$W,Q$2)</f>
        <v>222784.02</v>
      </c>
      <c r="R31" s="303"/>
      <c r="S31" s="199">
        <f t="shared" ref="S31:S41" si="31">L31-Q31</f>
        <v>41085.74000000002</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254.99999999999994</v>
      </c>
      <c r="F32" s="177">
        <f>+SUMPRODUCT(('Budget original'!$A$8:$A$496=$A32)*('Budget original'!$C$3:$AO$3=F$2),'Budget original'!$C$8:$AO$496)</f>
        <v>117426.06750177368</v>
      </c>
      <c r="G32" s="309"/>
      <c r="H32" s="190">
        <f t="shared" si="27"/>
        <v>254.99999999999994</v>
      </c>
      <c r="I32" s="177">
        <f>+SUMPRODUCT(('Budget révisé'!$A$8:$A$496=$A32)*('Budget révisé'!$C$3:$AO$3=I$2),'Budget révisé'!$C$8:$AO$496)</f>
        <v>117426.06750177368</v>
      </c>
      <c r="J32" s="976">
        <f>L32/L24</f>
        <v>0.30388677172184148</v>
      </c>
      <c r="K32" s="413">
        <f t="shared" si="28"/>
        <v>242.40852873563219</v>
      </c>
      <c r="L32" s="177">
        <f>SUMIFS(BV_Data_An_Cour!$P:$P,BV_Data_An_Cour!$U:$U,$B32,BV_Data_An_Cour!$V:$V,$C32,BV_Data_An_Cour!$W:$W,L$2)</f>
        <v>105447.71</v>
      </c>
      <c r="M32" s="310"/>
      <c r="N32" s="311">
        <f t="shared" si="29"/>
        <v>-11978.357501773673</v>
      </c>
      <c r="O32" s="310"/>
      <c r="P32" s="413">
        <f t="shared" si="30"/>
        <v>240.80987927565391</v>
      </c>
      <c r="Q32" s="177">
        <f>SUMIFS(BV_Data_An_Prec!$P:$P,BV_Data_An_Prec!$U:$U,$B32,BV_Data_An_Prec!$V:$V,$C32,BV_Data_An_Prec!$W:$W,Q$2)</f>
        <v>119682.51</v>
      </c>
      <c r="R32" s="310"/>
      <c r="S32" s="202">
        <f t="shared" si="31"/>
        <v>-14234.799999999988</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197.00000000000003</v>
      </c>
      <c r="F33" s="179">
        <f>+SUMPRODUCT(('Budget original'!$A$8:$A$496=$A33)*('Budget original'!$C$3:$AO$3=F$2),'Budget original'!$C$8:$AO$496)</f>
        <v>90717.393324899691</v>
      </c>
      <c r="G33" s="302"/>
      <c r="H33" s="197">
        <f t="shared" si="27"/>
        <v>197.00000000000003</v>
      </c>
      <c r="I33" s="179">
        <f>+SUMPRODUCT(('Budget révisé'!$A$8:$A$496=$A33)*('Budget révisé'!$C$3:$AO$3=I$2),'Budget révisé'!$C$8:$AO$496)</f>
        <v>90717.393324899691</v>
      </c>
      <c r="J33" s="303"/>
      <c r="K33" s="197">
        <f t="shared" si="28"/>
        <v>159.76255172413795</v>
      </c>
      <c r="L33" s="179">
        <f>SUMIFS(BV_Data_An_Cour!$P:$P,BV_Data_An_Cour!$U:$U,$B33,BV_Data_An_Cour!$V:$V,$C33,BV_Data_An_Cour!$W:$W,L$2)</f>
        <v>69496.710000000006</v>
      </c>
      <c r="M33" s="303"/>
      <c r="N33" s="304">
        <f t="shared" si="29"/>
        <v>-21220.683324899685</v>
      </c>
      <c r="O33" s="303"/>
      <c r="P33" s="197">
        <f t="shared" si="30"/>
        <v>181.31309859154931</v>
      </c>
      <c r="Q33" s="180">
        <f>SUMIFS(BV_Data_An_Prec!$P:$P,BV_Data_An_Prec!$U:$U,$B33,BV_Data_An_Prec!$V:$V,$C33,BV_Data_An_Prec!$W:$W,Q$2)</f>
        <v>90112.61</v>
      </c>
      <c r="R33" s="303"/>
      <c r="S33" s="199">
        <f t="shared" si="31"/>
        <v>-20615.899999999994</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+SUMPRODUCT(('Budget original'!$A$8:$A$496=$A34)*('Budget original'!$C$3:$AO$3=F$2),'Budget original'!$C$8:$AO$496)</f>
        <v>2762.9662941593811</v>
      </c>
      <c r="G34" s="302"/>
      <c r="H34" s="197">
        <f t="shared" si="27"/>
        <v>6</v>
      </c>
      <c r="I34" s="179">
        <f>+SUMPRODUCT(('Budget révisé'!$A$8:$A$496=$A34)*('Budget révisé'!$C$3:$AO$3=I$2),'Budget révisé'!$C$8:$AO$496)</f>
        <v>2762.9662941593811</v>
      </c>
      <c r="J34" s="303"/>
      <c r="K34" s="197">
        <f t="shared" si="28"/>
        <v>7.6705057471264366</v>
      </c>
      <c r="L34" s="179">
        <f>SUMIFS(BV_Data_An_Cour!$P:$P,BV_Data_An_Cour!$U:$U,$B34,BV_Data_An_Cour!$V:$V,$C34,BV_Data_An_Cour!$W:$W,L$2)</f>
        <v>3336.67</v>
      </c>
      <c r="M34" s="303"/>
      <c r="N34" s="304">
        <f t="shared" si="29"/>
        <v>573.70370584061902</v>
      </c>
      <c r="O34" s="303"/>
      <c r="P34" s="197">
        <f t="shared" si="30"/>
        <v>4.9831388329979873</v>
      </c>
      <c r="Q34" s="180">
        <f>SUMIFS(BV_Data_An_Prec!$P:$P,BV_Data_An_Prec!$U:$U,$B34,BV_Data_An_Prec!$V:$V,$C34,BV_Data_An_Prec!$W:$W,Q$2)</f>
        <v>2476.62</v>
      </c>
      <c r="R34" s="303"/>
      <c r="S34" s="199">
        <f t="shared" si="31"/>
        <v>860.05000000000018</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+SUMPRODUCT(('Budget original'!$A$8:$A$496=$A35)*('Budget original'!$C$3:$AO$3=F$2),'Budget original'!$C$8:$AO$496)</f>
        <v>15656.809000236493</v>
      </c>
      <c r="G35" s="309"/>
      <c r="H35" s="190">
        <f t="shared" si="27"/>
        <v>34</v>
      </c>
      <c r="I35" s="177">
        <f>+SUMPRODUCT(('Budget révisé'!$A$8:$A$496=$A35)*('Budget révisé'!$C$3:$AO$3=I$2),'Budget révisé'!$C$8:$AO$496)</f>
        <v>15656.809000236493</v>
      </c>
      <c r="J35" s="310"/>
      <c r="K35" s="413">
        <f t="shared" si="28"/>
        <v>8.2865057471264372</v>
      </c>
      <c r="L35" s="177">
        <f>SUMIFS(BV_Data_An_Cour!$P:$P,BV_Data_An_Cour!$U:$U,$B35,BV_Data_An_Cour!$V:$V,$C35,BV_Data_An_Cour!$W:$W,L$2)</f>
        <v>3604.63</v>
      </c>
      <c r="M35" s="310"/>
      <c r="N35" s="311">
        <f t="shared" si="29"/>
        <v>-12052.179000236494</v>
      </c>
      <c r="O35" s="310"/>
      <c r="P35" s="413">
        <f t="shared" si="30"/>
        <v>31.004104627766601</v>
      </c>
      <c r="Q35" s="180">
        <f>SUMIFS(BV_Data_An_Prec!$P:$P,BV_Data_An_Prec!$U:$U,$B35,BV_Data_An_Prec!$V:$V,$C35,BV_Data_An_Prec!$W:$W,Q$2)</f>
        <v>15409.04</v>
      </c>
      <c r="R35" s="310"/>
      <c r="S35" s="202">
        <f t="shared" si="31"/>
        <v>-11804.41</v>
      </c>
      <c r="T35" s="222"/>
      <c r="U35" s="222"/>
      <c r="V35" s="514"/>
      <c r="W35" s="977"/>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180.66964285714283</v>
      </c>
      <c r="F36" s="179">
        <f>+SUMPRODUCT(('Budget original'!$A$8:$A$496=$A36)*('Budget original'!$C$3:$AO$3=F$2),'Budget original'!$C$8:$AO$496)</f>
        <v>83197.355598683134</v>
      </c>
      <c r="G36" s="302"/>
      <c r="H36" s="197">
        <f t="shared" si="27"/>
        <v>180.66964285714283</v>
      </c>
      <c r="I36" s="179">
        <f>+SUMPRODUCT(('Budget révisé'!$A$8:$A$496=$A36)*('Budget révisé'!$C$3:$AO$3=I$2),'Budget révisé'!$C$8:$AO$496)</f>
        <v>83197.355598683134</v>
      </c>
      <c r="J36" s="303"/>
      <c r="K36" s="197">
        <f t="shared" si="28"/>
        <v>159.56648275862068</v>
      </c>
      <c r="L36" s="629">
        <f>SUMIFS(BV_Data_An_Cour!$P:$P,BV_Data_An_Cour!$U:$U,$B36,BV_Data_An_Cour!$V:$V,$C36,BV_Data_An_Cour!$W:$W,L$2)</f>
        <v>69411.42</v>
      </c>
      <c r="M36" s="178"/>
      <c r="N36" s="304">
        <f t="shared" si="29"/>
        <v>-13785.935598683136</v>
      </c>
      <c r="O36" s="303"/>
      <c r="P36" s="197">
        <f t="shared" si="30"/>
        <v>97.022132796780681</v>
      </c>
      <c r="Q36" s="429">
        <f>SUMIFS(BV_Data_An_Prec!$P:$P,BV_Data_An_Prec!$U:$U,$B36,BV_Data_An_Prec!$V:$V,$C36,BV_Data_An_Prec!$W:$W,Q$2)</f>
        <v>48220</v>
      </c>
      <c r="R36" s="303"/>
      <c r="S36" s="199">
        <f t="shared" si="31"/>
        <v>21191.42</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223.73815221415708</v>
      </c>
      <c r="F37" s="179">
        <f>+SUMPRODUCT(('Budget original'!$A$8:$A$496=$A37)*('Budget original'!$C$3:$AO$3=F$2),'Budget original'!$C$8:$AO$496)</f>
        <v>103030.16221420285</v>
      </c>
      <c r="G37" s="302"/>
      <c r="H37" s="197">
        <f t="shared" ref="H37:H40" si="34">I37/G$24</f>
        <v>223.73815221415708</v>
      </c>
      <c r="I37" s="179">
        <f>+SUMPRODUCT(('Budget révisé'!$A$8:$A$496=$A37)*('Budget révisé'!$C$3:$AO$3=I$2),'Budget révisé'!$C$8:$AO$496)</f>
        <v>103030.16221420285</v>
      </c>
      <c r="J37" s="303"/>
      <c r="K37" s="197">
        <f t="shared" ref="K37:K40" si="35">IF(L37=0,0,L37/J$24)</f>
        <v>210.79689655172413</v>
      </c>
      <c r="L37" s="630">
        <f>SUMIFS(BV_Data_An_Cour!$P:$P,BV_Data_An_Cour!$U:$U,$B37,BV_Data_An_Cour!$V:$V,$C37,BV_Data_An_Cour!$W:$W,L$2)</f>
        <v>91696.65</v>
      </c>
      <c r="M37" s="178"/>
      <c r="N37" s="304">
        <f t="shared" ref="N37:N40" si="36">L37-I37</f>
        <v>-11333.512214202856</v>
      </c>
      <c r="O37" s="303"/>
      <c r="P37" s="197">
        <f t="shared" ref="P37:P40" si="37">IF(Q37=0,0,Q37/O$24)</f>
        <v>280.91486921529173</v>
      </c>
      <c r="Q37" s="180">
        <f>SUMIFS(BV_Data_An_Prec!$P:$P,BV_Data_An_Prec!$U:$U,$B37,BV_Data_An_Prec!$V:$V,$C37,BV_Data_An_Prec!$W:$W,Q$2)</f>
        <v>139614.69</v>
      </c>
      <c r="R37" s="303"/>
      <c r="S37" s="199">
        <f t="shared" ref="S37:S40" si="38">L37-Q37</f>
        <v>-47918.040000000008</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original'!$A$8:$A$496=$A38)*('Budget original'!$C$3:$AO$3=F$2),'Budget original'!$C$8:$AO$496)</f>
        <v>0</v>
      </c>
      <c r="G38" s="302"/>
      <c r="H38" s="197">
        <f t="shared" si="34"/>
        <v>0</v>
      </c>
      <c r="I38" s="179">
        <f>+SUMPRODUCT(('Budget révisé'!$A$8:$A$496=$A38)*('Budget révisé'!$C$3:$AO$3=I$2),'Budget révisé'!$C$8:$AO$496)</f>
        <v>0</v>
      </c>
      <c r="J38" s="303"/>
      <c r="K38" s="197">
        <f t="shared" si="35"/>
        <v>0</v>
      </c>
      <c r="L38" s="630">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original'!$A$8:$A$496=$A39)*('Budget original'!$C$3:$AO$3=F$2),'Budget original'!$C$8:$AO$496)</f>
        <v>0</v>
      </c>
      <c r="G39" s="302"/>
      <c r="H39" s="197">
        <f t="shared" si="34"/>
        <v>0</v>
      </c>
      <c r="I39" s="179">
        <f>+SUMPRODUCT(('Budget révisé'!$A$8:$A$496=$A39)*('Budget révisé'!$C$3:$AO$3=I$2),'Budget révisé'!$C$8:$AO$496)</f>
        <v>0</v>
      </c>
      <c r="J39" s="303"/>
      <c r="K39" s="197">
        <f t="shared" si="35"/>
        <v>0</v>
      </c>
      <c r="L39" s="630">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original'!$A$8:$A$496=$A40)*('Budget original'!$C$3:$AO$3=F$2),'Budget original'!$C$8:$AO$496)</f>
        <v>0</v>
      </c>
      <c r="G40" s="302"/>
      <c r="H40" s="197">
        <f t="shared" si="34"/>
        <v>0</v>
      </c>
      <c r="I40" s="179">
        <f>+SUMPRODUCT(('Budget révisé'!$A$8:$A$496=$A40)*('Budget révisé'!$C$3:$AO$3=I$2),'Budget révisé'!$C$8:$AO$496)</f>
        <v>0</v>
      </c>
      <c r="J40" s="303"/>
      <c r="K40" s="197">
        <f t="shared" si="35"/>
        <v>0</v>
      </c>
      <c r="L40" s="631">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0.56301890317553771</v>
      </c>
      <c r="F41" s="41">
        <f>SUM(F31:F40)</f>
        <v>590504.13876625511</v>
      </c>
      <c r="G41" s="42" t="s">
        <v>111</v>
      </c>
      <c r="H41" s="40">
        <f>I41/I$27</f>
        <v>0.56301890317553771</v>
      </c>
      <c r="I41" s="41">
        <f>SUM(I31:I40)</f>
        <v>590504.13876625511</v>
      </c>
      <c r="J41" s="42" t="s">
        <v>111</v>
      </c>
      <c r="K41" s="40">
        <f>L41/L$27</f>
        <v>0.5305571263111295</v>
      </c>
      <c r="L41" s="41">
        <f>SUM(L31:L40)</f>
        <v>606863.55000000005</v>
      </c>
      <c r="M41" s="583"/>
      <c r="N41" s="41">
        <f t="shared" si="29"/>
        <v>16359.411233744933</v>
      </c>
      <c r="O41" s="42" t="s">
        <v>111</v>
      </c>
      <c r="P41" s="40">
        <f>Q41/Q$27</f>
        <v>0.92421979490412776</v>
      </c>
      <c r="Q41" s="582">
        <f>SUM(Q31:Q40)</f>
        <v>638299.49</v>
      </c>
      <c r="R41" s="44"/>
      <c r="S41" s="316">
        <f t="shared" si="31"/>
        <v>-31435.939999999944</v>
      </c>
      <c r="T41" s="222"/>
      <c r="U41" s="1116">
        <f>H41/K41</f>
        <v>1.0611843197548005</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original'!$A$8:$A$496=$A42)*('Budget original'!$C$3:$AO$3=F$2),'Budget original'!$C$8:$AO$496)</f>
        <v>173683.09712643677</v>
      </c>
      <c r="G42" s="303"/>
      <c r="H42" s="178"/>
      <c r="I42" s="179">
        <f>+SUMPRODUCT(('Budget révisé'!$A$8:$A$496=$A42)*('Budget révisé'!$C$3:$AO$3=I$2),'Budget révisé'!$C$8:$AO$496)</f>
        <v>173683.09712643677</v>
      </c>
      <c r="J42" s="303"/>
      <c r="K42" s="178"/>
      <c r="L42" s="281">
        <f>SUMIFS(BV_Data_An_Cour!$P:$P,BV_Data_An_Cour!$U:$U,$B42,BV_Data_An_Cour!$V:$V,$C42,BV_Data_An_Cour!$W:$W,L$2)</f>
        <v>143848.51</v>
      </c>
      <c r="M42" s="303"/>
      <c r="N42" s="304">
        <f t="shared" si="29"/>
        <v>-29834.58712643676</v>
      </c>
      <c r="O42" s="303"/>
      <c r="P42" s="178"/>
      <c r="Q42" s="180">
        <f>SUMIFS(BV_Data_An_Prec!$P:$P,BV_Data_An_Prec!$U:$U,$B42,BV_Data_An_Prec!$V:$V,$C42,BV_Data_An_Prec!$W:$W,Q$2)</f>
        <v>155539.82</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original'!$A$8:$A$496=$A43)*('Budget original'!$C$3:$AO$3=F$2),'Budget original'!$C$8:$AO$496)</f>
        <v>68837.88370731035</v>
      </c>
      <c r="G43" s="302"/>
      <c r="H43" s="178"/>
      <c r="I43" s="177">
        <f>+SUMPRODUCT(('Budget révisé'!$A$8:$A$496=$A43)*('Budget révisé'!$C$3:$AO$3=I$2),'Budget révisé'!$C$8:$AO$496)</f>
        <v>68837.88370731035</v>
      </c>
      <c r="J43" s="303"/>
      <c r="K43" s="1114"/>
      <c r="L43" s="281">
        <f>SUMIFS(BV_Data_An_Cour!$P:$P,BV_Data_An_Cour!$U:$U,$B43,BV_Data_An_Cour!$V:$V,$C43,BV_Data_An_Cour!$W:$W,L$2)</f>
        <v>59358.09</v>
      </c>
      <c r="M43" s="303"/>
      <c r="N43" s="304">
        <f t="shared" si="29"/>
        <v>-9479.7937073103531</v>
      </c>
      <c r="O43" s="303"/>
      <c r="P43" s="178"/>
      <c r="Q43" s="180">
        <f>SUMIFS(BV_Data_An_Prec!$P:$P,BV_Data_An_Prec!$U:$U,$B43,BV_Data_An_Prec!$V:$V,$C43,BV_Data_An_Prec!$W:$W,Q$2)</f>
        <v>63915.67</v>
      </c>
      <c r="R43" s="303"/>
      <c r="S43" s="199">
        <f t="shared" ref="S43:S53" si="39">L43-Q43</f>
        <v>-4557.5800000000017</v>
      </c>
      <c r="T43" s="222"/>
      <c r="U43" s="1115"/>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original'!$A$8:$A$496=$A44)*('Budget original'!$C$3:$AO$3=F$2),'Budget original'!$C$8:$AO$496)</f>
        <v>43377.750211016086</v>
      </c>
      <c r="G44" s="393"/>
      <c r="H44" s="352"/>
      <c r="I44" s="179">
        <f>+SUMPRODUCT(('Budget révisé'!$A$8:$A$496=$A44)*('Budget révisé'!$C$3:$AO$3=I$2),'Budget révisé'!$C$8:$AO$496)</f>
        <v>43377.750211016086</v>
      </c>
      <c r="J44" s="368"/>
      <c r="K44" s="352"/>
      <c r="L44" s="181">
        <f>SUMIFS(BV_Data_An_Cour!$P:$P,BV_Data_An_Cour!$U:$U,$B44,BV_Data_An_Cour!$V:$V,$C44,BV_Data_An_Cour!$W:$W,L$2)</f>
        <v>56676.11</v>
      </c>
      <c r="M44" s="368"/>
      <c r="N44" s="356">
        <f t="shared" si="29"/>
        <v>13298.359788983915</v>
      </c>
      <c r="O44" s="368"/>
      <c r="P44" s="352"/>
      <c r="Q44" s="181">
        <f>SUMIFS(BV_Data_An_Prec!$P:$P,BV_Data_An_Prec!$U:$U,$B44,BV_Data_An_Prec!$V:$V,$C44,BV_Data_An_Prec!$W:$W,Q$2)</f>
        <v>43696.33</v>
      </c>
      <c r="R44" s="368"/>
      <c r="S44" s="201">
        <f t="shared" si="39"/>
        <v>12979.779999999999</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original'!$A$8:$A$496=$A45)*('Budget original'!$C$3:$AO$3=F$2),'Budget original'!$C$8:$AO$496)</f>
        <v>0</v>
      </c>
      <c r="G45" s="302"/>
      <c r="H45" s="178"/>
      <c r="I45" s="179">
        <f>+SUMPRODUCT(('Budget révisé'!$A$8:$A$496=$A45)*('Budget révisé'!$C$3:$AO$3=I$2),'Budget révisé'!$C$8:$AO$496)</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original'!$A$8:$A$496=$A46)*('Budget original'!$C$3:$AO$3=F$2),'Budget original'!$C$8:$AO$496)</f>
        <v>0</v>
      </c>
      <c r="G46" s="302"/>
      <c r="H46" s="178"/>
      <c r="I46" s="179">
        <f>+SUMPRODUCT(('Budget révisé'!$A$8:$A$496=$A46)*('Budget révisé'!$C$3:$AO$3=I$2),'Budget révisé'!$C$8:$AO$496)</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original'!$A$8:$A$496=$A47)*('Budget original'!$C$3:$AO$3=F$2),'Budget original'!$C$8:$AO$496)</f>
        <v>0</v>
      </c>
      <c r="G47" s="302"/>
      <c r="H47" s="178"/>
      <c r="I47" s="179">
        <f>+SUMPRODUCT(('Budget révisé'!$A$8:$A$496=$A47)*('Budget révisé'!$C$3:$AO$3=I$2),'Budget révisé'!$C$8:$AO$496)</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original'!$A$8:$A$496=$A48)*('Budget original'!$C$3:$AO$3=F$2),'Budget original'!$C$8:$AO$496)</f>
        <v>0</v>
      </c>
      <c r="G48" s="302"/>
      <c r="H48" s="178"/>
      <c r="I48" s="179">
        <f>+SUMPRODUCT(('Budget révisé'!$A$8:$A$496=$A48)*('Budget révisé'!$C$3:$AO$3=I$2),'Budget révisé'!$C$8:$AO$496)</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original'!$A$8:$A$496=$A49)*('Budget original'!$C$3:$AO$3=F$2),'Budget original'!$C$8:$AO$496)</f>
        <v>69724.582005460412</v>
      </c>
      <c r="G49" s="302"/>
      <c r="H49" s="178"/>
      <c r="I49" s="177">
        <f>+SUMPRODUCT(('Budget révisé'!$A$8:$A$496=$A49)*('Budget révisé'!$C$3:$AO$3=I$2),'Budget révisé'!$C$8:$AO$496)</f>
        <v>69724.582005460412</v>
      </c>
      <c r="J49" s="303"/>
      <c r="K49" s="178"/>
      <c r="L49" s="177">
        <f>SUMIFS(BV_Data_An_Cour!$P:$P,BV_Data_An_Cour!$U:$U,$B49,BV_Data_An_Cour!$V:$V,$C49,BV_Data_An_Cour!$W:$W,L$2)</f>
        <v>88767.11</v>
      </c>
      <c r="M49" s="303"/>
      <c r="N49" s="304">
        <f t="shared" si="29"/>
        <v>19042.527994539589</v>
      </c>
      <c r="O49" s="303"/>
      <c r="P49" s="178"/>
      <c r="Q49" s="177">
        <f>SUMIFS(BV_Data_An_Prec!$P:$P,BV_Data_An_Prec!$U:$U,$B49,BV_Data_An_Prec!$V:$V,$C49,BV_Data_An_Prec!$W:$W,Q$2)</f>
        <v>95333.63</v>
      </c>
      <c r="R49" s="303"/>
      <c r="S49" s="199">
        <f t="shared" si="39"/>
        <v>-6566.5200000000041</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original'!$A$8:$A$496=$A50)*('Budget original'!$C$3:$AO$3=F$2),'Budget original'!$C$8:$AO$496)</f>
        <v>69724.582005460412</v>
      </c>
      <c r="G50" s="393"/>
      <c r="H50" s="352"/>
      <c r="I50" s="179">
        <f>+SUMPRODUCT(('Budget révisé'!$A$8:$A$496=$A50)*('Budget révisé'!$C$3:$AO$3=I$2),'Budget révisé'!$C$8:$AO$496)</f>
        <v>69724.582005460412</v>
      </c>
      <c r="J50" s="368"/>
      <c r="K50" s="352"/>
      <c r="L50" s="180">
        <f>SUMIFS(BV_Data_An_Cour!$P:$P,BV_Data_An_Cour!$U:$U,$B50,BV_Data_An_Cour!$V:$V,$C50,BV_Data_An_Cour!$W:$W,L$2)</f>
        <v>73689.740000000005</v>
      </c>
      <c r="M50" s="368"/>
      <c r="N50" s="356">
        <f t="shared" si="29"/>
        <v>3965.1579945395933</v>
      </c>
      <c r="O50" s="368"/>
      <c r="P50" s="352"/>
      <c r="Q50" s="180">
        <f>SUMIFS(BV_Data_An_Prec!$P:$P,BV_Data_An_Prec!$U:$U,$B50,BV_Data_An_Prec!$V:$V,$C50,BV_Data_An_Prec!$W:$W,Q$2)</f>
        <v>83814.59</v>
      </c>
      <c r="R50" s="368"/>
      <c r="S50" s="201">
        <f t="shared" si="39"/>
        <v>-10124.849999999991</v>
      </c>
      <c r="T50" s="222"/>
      <c r="U50" s="222"/>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original'!$A$8:$A$496=$A51)*('Budget original'!$C$3:$AO$3=F$2),'Budget original'!$C$8:$AO$496)</f>
        <v>49969.283770579961</v>
      </c>
      <c r="G51" s="302"/>
      <c r="H51" s="178"/>
      <c r="I51" s="179">
        <f>+SUMPRODUCT(('Budget révisé'!$A$8:$A$496=$A51)*('Budget révisé'!$C$3:$AO$3=I$2),'Budget révisé'!$C$8:$AO$496)</f>
        <v>49969.283770579961</v>
      </c>
      <c r="J51" s="303"/>
      <c r="K51" s="178"/>
      <c r="L51" s="180">
        <f>SUMIFS(BV_Data_An_Cour!$P:$P,BV_Data_An_Cour!$U:$U,$B51,BV_Data_An_Cour!$V:$V,$C51,BV_Data_An_Cour!$W:$W,L$2)</f>
        <v>52810.97</v>
      </c>
      <c r="M51" s="303"/>
      <c r="N51" s="304">
        <f t="shared" si="29"/>
        <v>2841.68622942004</v>
      </c>
      <c r="O51" s="303"/>
      <c r="P51" s="178"/>
      <c r="Q51" s="180">
        <f>SUMIFS(BV_Data_An_Prec!$P:$P,BV_Data_An_Prec!$U:$U,$B51,BV_Data_An_Prec!$V:$V,$C51,BV_Data_An_Prec!$W:$W,Q$2)</f>
        <v>56654.14</v>
      </c>
      <c r="R51" s="303"/>
      <c r="S51" s="199">
        <f t="shared" si="39"/>
        <v>-3843.1699999999983</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original'!$A$8:$A$496=$A52)*('Budget original'!$C$3:$AO$3=F$2),'Budget original'!$C$8:$AO$496)</f>
        <v>11620.763667576735</v>
      </c>
      <c r="G52" s="302"/>
      <c r="H52" s="178"/>
      <c r="I52" s="179">
        <f>+SUMPRODUCT(('Budget révisé'!$A$8:$A$496=$A52)*('Budget révisé'!$C$3:$AO$3=I$2),'Budget révisé'!$C$8:$AO$496)</f>
        <v>11620.763667576735</v>
      </c>
      <c r="J52" s="303"/>
      <c r="K52" s="178"/>
      <c r="L52" s="180">
        <f>SUMIFS(BV_Data_An_Cour!$P:$P,BV_Data_An_Cour!$U:$U,$B52,BV_Data_An_Cour!$V:$V,$C52,BV_Data_An_Cour!$W:$W,L$2)</f>
        <v>21281.63</v>
      </c>
      <c r="M52" s="303"/>
      <c r="N52" s="304">
        <f t="shared" si="29"/>
        <v>9660.8663324232657</v>
      </c>
      <c r="O52" s="303"/>
      <c r="P52" s="178"/>
      <c r="Q52" s="180">
        <f>SUMIFS(BV_Data_An_Prec!$P:$P,BV_Data_An_Prec!$U:$U,$B52,BV_Data_An_Prec!$V:$V,$C52,BV_Data_An_Prec!$W:$W,Q$2)</f>
        <v>20684.849999999999</v>
      </c>
      <c r="R52" s="303"/>
      <c r="S52" s="199">
        <f t="shared" si="39"/>
        <v>596.78000000000247</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original'!$A$8:$A$496=$A53)*('Budget original'!$C$3:$AO$3=F$2),'Budget original'!$C$8:$AO$496)</f>
        <v>0</v>
      </c>
      <c r="G53" s="309"/>
      <c r="H53" s="308"/>
      <c r="I53" s="179">
        <f>+SUMPRODUCT(('Budget révisé'!$A$8:$A$496=$A53)*('Budget révisé'!$C$3:$AO$3=I$2),'Budget révisé'!$C$8:$AO$496)</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0.46427323417280358</v>
      </c>
      <c r="F54" s="41">
        <f>+SUM(F42:F53)</f>
        <v>486937.9424938407</v>
      </c>
      <c r="G54" s="42" t="s">
        <v>111</v>
      </c>
      <c r="H54" s="40">
        <f>I54/I$27</f>
        <v>0.46427323417280358</v>
      </c>
      <c r="I54" s="41">
        <f>+SUM(I42:I53)</f>
        <v>486937.9424938407</v>
      </c>
      <c r="J54" s="42" t="s">
        <v>111</v>
      </c>
      <c r="K54" s="40">
        <f>L54/L$27</f>
        <v>0.43401127027323827</v>
      </c>
      <c r="L54" s="41">
        <f>+SUM(L42:L53)</f>
        <v>496432.16000000003</v>
      </c>
      <c r="M54" s="44"/>
      <c r="N54" s="41">
        <f>+SUM(N42:N53)</f>
        <v>9494.2175061592898</v>
      </c>
      <c r="O54" s="42" t="s">
        <v>111</v>
      </c>
      <c r="P54" s="40">
        <f>Q54/Q$27</f>
        <v>0.75240648826271184</v>
      </c>
      <c r="Q54" s="41">
        <f>+SUM(Q42:Q53)</f>
        <v>519639.03</v>
      </c>
      <c r="R54" s="44"/>
      <c r="S54" s="316">
        <f>+SUM(S42:S53)</f>
        <v>-11515.559999999994</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original'!$A$8:$A$496=$A55)*('Budget original'!$C$3:$AO$3=F$2),'Budget original'!$C$8:$AO$496)</f>
        <v>0</v>
      </c>
      <c r="G55" s="302"/>
      <c r="H55" s="178"/>
      <c r="I55" s="179">
        <f>+SUMPRODUCT(('Budget révisé'!$A$8:$A$496=$A55)*('Budget révisé'!$C$3:$AO$3=I$2),'Budget révisé'!$C$8:$AO$496)</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original'!$A$8:$A$496=$A56)*('Budget original'!$C$3:$AO$3=F$2),'Budget original'!$C$8:$AO$496)</f>
        <v>0</v>
      </c>
      <c r="G56" s="302"/>
      <c r="H56" s="178"/>
      <c r="I56" s="179">
        <f>+SUMPRODUCT(('Budget révisé'!$A$8:$A$496=$A56)*('Budget révisé'!$C$3:$AO$3=I$2),'Budget révisé'!$C$8:$AO$496)</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original'!$A$8:$A$496=$A57)*('Budget original'!$C$3:$AO$3=F$2),'Budget original'!$C$8:$AO$496)</f>
        <v>63622.142500000009</v>
      </c>
      <c r="G57" s="309"/>
      <c r="H57" s="308"/>
      <c r="I57" s="177">
        <f>+SUMPRODUCT(('Budget révisé'!$A$8:$A$496=$A57)*('Budget révisé'!$C$3:$AO$3=I$2),'Budget révisé'!$C$8:$AO$496)</f>
        <v>63622.142500000009</v>
      </c>
      <c r="J57" s="310"/>
      <c r="K57" s="308"/>
      <c r="L57" s="177">
        <f>SUMIFS(BV_Data_An_Cour!$P:$P,BV_Data_An_Cour!$U:$U,$B57,BV_Data_An_Cour!$V:$V,$C57,BV_Data_An_Cour!$W:$W,L$2)</f>
        <v>41713.31</v>
      </c>
      <c r="M57" s="310"/>
      <c r="N57" s="434">
        <f t="shared" si="43"/>
        <v>-21908.832500000011</v>
      </c>
      <c r="O57" s="310"/>
      <c r="P57" s="308"/>
      <c r="Q57" s="177">
        <f>SUMIFS(BV_Data_An_Prec!$P:$P,BV_Data_An_Prec!$U:$U,$B57,BV_Data_An_Prec!$V:$V,$C57,BV_Data_An_Prec!$W:$W,Q$2)</f>
        <v>99908.54</v>
      </c>
      <c r="R57" s="310"/>
      <c r="S57" s="202">
        <f t="shared" si="44"/>
        <v>-58195.229999999996</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original'!$A$8:$A$496=$A58)*('Budget original'!$C$3:$AO$3=F$2),'Budget original'!$C$8:$AO$496)</f>
        <v>46741.773866666677</v>
      </c>
      <c r="G58" s="302"/>
      <c r="H58" s="178"/>
      <c r="I58" s="179">
        <f>+SUMPRODUCT(('Budget révisé'!$A$8:$A$496=$A58)*('Budget révisé'!$C$3:$AO$3=I$2),'Budget révisé'!$C$8:$AO$496)</f>
        <v>46741.773866666677</v>
      </c>
      <c r="J58" s="303"/>
      <c r="K58" s="178"/>
      <c r="L58" s="180">
        <f>SUMIFS(BV_Data_An_Cour!$P:$P,BV_Data_An_Cour!$U:$U,$B58,BV_Data_An_Cour!$V:$V,$C58,BV_Data_An_Cour!$W:$W,L$2)</f>
        <v>39020.85</v>
      </c>
      <c r="M58" s="303"/>
      <c r="N58" s="304">
        <f t="shared" si="43"/>
        <v>-7720.9238666666788</v>
      </c>
      <c r="O58" s="303"/>
      <c r="P58" s="178"/>
      <c r="Q58" s="180">
        <f>SUMIFS(BV_Data_An_Prec!$P:$P,BV_Data_An_Prec!$U:$U,$B58,BV_Data_An_Prec!$V:$V,$C58,BV_Data_An_Prec!$W:$W,Q$2)</f>
        <v>48180.79</v>
      </c>
      <c r="R58" s="303"/>
      <c r="S58" s="199">
        <f t="shared" si="44"/>
        <v>-9159.9400000000023</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original'!$A$8:$A$496=$A59)*('Budget original'!$C$3:$AO$3=F$2),'Budget original'!$C$8:$AO$496)</f>
        <v>11175.477599999998</v>
      </c>
      <c r="G59" s="302"/>
      <c r="H59" s="178"/>
      <c r="I59" s="179">
        <f>+SUMPRODUCT(('Budget révisé'!$A$8:$A$496=$A59)*('Budget révisé'!$C$3:$AO$3=I$2),'Budget révisé'!$C$8:$AO$496)</f>
        <v>11175.477599999998</v>
      </c>
      <c r="J59" s="303"/>
      <c r="K59" s="178"/>
      <c r="L59" s="180">
        <f>SUMIFS(BV_Data_An_Cour!$P:$P,BV_Data_An_Cour!$U:$U,$B59,BV_Data_An_Cour!$V:$V,$C59,BV_Data_An_Cour!$W:$W,L$2)</f>
        <v>4127.33</v>
      </c>
      <c r="M59" s="303"/>
      <c r="N59" s="304">
        <f t="shared" si="43"/>
        <v>-7048.1475999999984</v>
      </c>
      <c r="O59" s="303"/>
      <c r="P59" s="178"/>
      <c r="Q59" s="180">
        <f>SUMIFS(BV_Data_An_Prec!$P:$P,BV_Data_An_Prec!$U:$U,$B59,BV_Data_An_Prec!$V:$V,$C59,BV_Data_An_Prec!$W:$W,Q$2)</f>
        <v>13612.48</v>
      </c>
      <c r="R59" s="303"/>
      <c r="S59" s="199">
        <f t="shared" si="44"/>
        <v>-9485.15</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original'!$A$8:$A$496=$A60)*('Budget original'!$C$3:$AO$3=F$2),'Budget original'!$C$8:$AO$496)</f>
        <v>66765.262666666677</v>
      </c>
      <c r="G60" s="309"/>
      <c r="H60" s="308"/>
      <c r="I60" s="177">
        <f>+SUMPRODUCT(('Budget révisé'!$A$8:$A$496=$A60)*('Budget révisé'!$C$3:$AO$3=I$2),'Budget révisé'!$C$8:$AO$496)</f>
        <v>66765.262666666677</v>
      </c>
      <c r="J60" s="310"/>
      <c r="K60" s="308"/>
      <c r="L60" s="177">
        <f>SUMIFS(BV_Data_An_Cour!$P:$P,BV_Data_An_Cour!$U:$U,$B60,BV_Data_An_Cour!$V:$V,$C60,BV_Data_An_Cour!$W:$W,L$2)</f>
        <v>50753.3</v>
      </c>
      <c r="M60" s="310"/>
      <c r="N60" s="311">
        <f t="shared" si="43"/>
        <v>-16011.962666666674</v>
      </c>
      <c r="O60" s="310"/>
      <c r="P60" s="308"/>
      <c r="Q60" s="177">
        <f>SUMIFS(BV_Data_An_Prec!$P:$P,BV_Data_An_Prec!$U:$U,$B60,BV_Data_An_Prec!$V:$V,$C60,BV_Data_An_Prec!$W:$W,Q$2)</f>
        <v>47995.15</v>
      </c>
      <c r="R60" s="310"/>
      <c r="S60" s="202">
        <f t="shared" si="44"/>
        <v>2758.1500000000015</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original'!$A$8:$A$496=$A61)*('Budget original'!$C$3:$AO$3=F$2),'Budget original'!$C$8:$AO$496)</f>
        <v>1841.9775294395877</v>
      </c>
      <c r="G61" s="302"/>
      <c r="H61" s="178"/>
      <c r="I61" s="179">
        <f>+SUMPRODUCT(('Budget révisé'!$A$8:$A$496=$A61)*('Budget révisé'!$C$3:$AO$3=I$2),'Budget révisé'!$C$8:$AO$496)</f>
        <v>1841.9775294395877</v>
      </c>
      <c r="J61" s="303"/>
      <c r="K61" s="178"/>
      <c r="L61" s="180">
        <f>SUMIFS(BV_Data_An_Cour!$P:$P,BV_Data_An_Cour!$U:$U,$B61,BV_Data_An_Cour!$V:$V,$C61,BV_Data_An_Cour!$W:$W,L$2)</f>
        <v>560.86</v>
      </c>
      <c r="M61" s="303"/>
      <c r="N61" s="304">
        <f t="shared" si="43"/>
        <v>-1281.1175294395875</v>
      </c>
      <c r="O61" s="303"/>
      <c r="P61" s="178"/>
      <c r="Q61" s="180">
        <f>SUMIFS(BV_Data_An_Prec!$P:$P,BV_Data_An_Prec!$U:$U,$B61,BV_Data_An_Prec!$V:$V,$C61,BV_Data_An_Prec!$W:$W,Q$2)</f>
        <v>1728</v>
      </c>
      <c r="R61" s="303"/>
      <c r="S61" s="199">
        <f t="shared" si="44"/>
        <v>-1167.1399999999999</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original'!$A$8:$A$496=$A62)*('Budget original'!$C$3:$AO$3=F$2),'Budget original'!$C$8:$AO$496)</f>
        <v>245</v>
      </c>
      <c r="G62" s="302"/>
      <c r="H62" s="178"/>
      <c r="I62" s="179">
        <f>+SUMPRODUCT(('Budget révisé'!$A$8:$A$496=$A62)*('Budget révisé'!$C$3:$AO$3=I$2),'Budget révisé'!$C$8:$AO$496)</f>
        <v>245</v>
      </c>
      <c r="J62" s="303"/>
      <c r="K62" s="178"/>
      <c r="L62" s="180">
        <f>SUMIFS(BV_Data_An_Cour!$P:$P,BV_Data_An_Cour!$U:$U,$B62,BV_Data_An_Cour!$V:$V,$C62,BV_Data_An_Cour!$W:$W,L$2)</f>
        <v>0</v>
      </c>
      <c r="M62" s="303"/>
      <c r="N62" s="304">
        <f t="shared" si="43"/>
        <v>-245</v>
      </c>
      <c r="O62" s="303"/>
      <c r="P62" s="178"/>
      <c r="Q62" s="180">
        <f>SUMIFS(BV_Data_An_Prec!$P:$P,BV_Data_An_Prec!$U:$U,$B62,BV_Data_An_Prec!$V:$V,$C62,BV_Data_An_Prec!$W:$W,Q$2)</f>
        <v>245</v>
      </c>
      <c r="R62" s="303"/>
      <c r="S62" s="199">
        <f t="shared" si="44"/>
        <v>-245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original'!$A$8:$A$496=$A63)*('Budget original'!$C$3:$AO$3=F$2),'Budget original'!$C$8:$AO$496)</f>
        <v>4883.2000000000007</v>
      </c>
      <c r="G63" s="302"/>
      <c r="H63" s="178"/>
      <c r="I63" s="179">
        <f>+SUMPRODUCT(('Budget révisé'!$A$8:$A$496=$A63)*('Budget révisé'!$C$3:$AO$3=I$2),'Budget révisé'!$C$8:$AO$496)</f>
        <v>4883.2000000000007</v>
      </c>
      <c r="J63" s="303"/>
      <c r="K63" s="178"/>
      <c r="L63" s="554">
        <f>SUMIFS(BV_Data_An_Cour!$P:$P,BV_Data_An_Cour!$U:$U,$B63,BV_Data_An_Cour!$V:$V,$C63,BV_Data_An_Cour!$W:$W,L$2)</f>
        <v>3835.27</v>
      </c>
      <c r="M63" s="303"/>
      <c r="N63" s="304">
        <f t="shared" si="43"/>
        <v>-1047.9300000000007</v>
      </c>
      <c r="O63" s="303"/>
      <c r="P63" s="178"/>
      <c r="Q63" s="554">
        <f>SUMIFS(BV_Data_An_Prec!$P:$P,BV_Data_An_Prec!$U:$U,$B63,BV_Data_An_Prec!$V:$V,$C63,BV_Data_An_Prec!$W:$W,Q$2)</f>
        <v>4144</v>
      </c>
      <c r="R63" s="303"/>
      <c r="S63" s="199">
        <f t="shared" si="44"/>
        <v>-308.73</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original'!$A$8:$A$496=$A64)*('Budget original'!$C$3:$AO$3=F$2),'Budget original'!$C$8:$AO$496)</f>
        <v>4129.3840000000009</v>
      </c>
      <c r="G64" s="302"/>
      <c r="H64" s="178"/>
      <c r="I64" s="179">
        <f>+SUMPRODUCT(('Budget révisé'!$A$8:$A$496=$A64)*('Budget révisé'!$C$3:$AO$3=I$2),'Budget révisé'!$C$8:$AO$496)</f>
        <v>4129.3840000000009</v>
      </c>
      <c r="J64" s="303"/>
      <c r="K64" s="178"/>
      <c r="L64" s="180">
        <f>SUMIFS(BV_Data_An_Cour!$P:$P,BV_Data_An_Cour!$U:$U,$B64,BV_Data_An_Cour!$V:$V,$C64,BV_Data_An_Cour!$W:$W,L$2)</f>
        <v>1989.7</v>
      </c>
      <c r="M64" s="303"/>
      <c r="N64" s="304">
        <f t="shared" si="43"/>
        <v>-2139.6840000000011</v>
      </c>
      <c r="O64" s="303"/>
      <c r="P64" s="178"/>
      <c r="Q64" s="180">
        <f>SUMIFS(BV_Data_An_Prec!$P:$P,BV_Data_An_Prec!$U:$U,$B64,BV_Data_An_Prec!$V:$V,$C64,BV_Data_An_Prec!$W:$W,Q$2)</f>
        <v>3858.67</v>
      </c>
      <c r="R64" s="303"/>
      <c r="S64" s="199">
        <f t="shared" si="44"/>
        <v>-1868.97</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original'!$A$8:$A$496=$A65)*('Budget original'!$C$3:$AO$3=F$2),'Budget original'!$C$8:$AO$496)</f>
        <v>1937.6</v>
      </c>
      <c r="G65" s="302"/>
      <c r="H65" s="178"/>
      <c r="I65" s="179">
        <f>+SUMPRODUCT(('Budget révisé'!$A$8:$A$496=$A65)*('Budget révisé'!$C$3:$AO$3=I$2),'Budget révisé'!$C$8:$AO$496)</f>
        <v>1937.6</v>
      </c>
      <c r="J65" s="303"/>
      <c r="K65" s="178"/>
      <c r="L65" s="281">
        <f>SUMIFS(BV_Data_An_Cour!$P:$P,BV_Data_An_Cour!$U:$U,$B65,BV_Data_An_Cour!$V:$V,$C65,BV_Data_An_Cour!$W:$W,L$2)</f>
        <v>1011.29</v>
      </c>
      <c r="M65" s="303"/>
      <c r="N65" s="304">
        <f t="shared" si="43"/>
        <v>-926.31</v>
      </c>
      <c r="O65" s="303"/>
      <c r="P65" s="178"/>
      <c r="Q65" s="180">
        <f>SUMIFS(BV_Data_An_Prec!$P:$P,BV_Data_An_Prec!$U:$U,$B65,BV_Data_An_Prec!$V:$V,$C65,BV_Data_An_Prec!$W:$W,Q$2)</f>
        <v>969.84</v>
      </c>
      <c r="R65" s="303"/>
      <c r="S65" s="199">
        <f t="shared" si="44"/>
        <v>41.449999999999932</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original'!$A$8:$A$496=$A66)*('Budget original'!$C$3:$AO$3=F$2),'Budget original'!$C$8:$AO$496)</f>
        <v>9443.84</v>
      </c>
      <c r="G66" s="302"/>
      <c r="H66" s="178"/>
      <c r="I66" s="179">
        <f>+SUMPRODUCT(('Budget révisé'!$A$8:$A$496=$A66)*('Budget révisé'!$C$3:$AO$3=I$2),'Budget révisé'!$C$8:$AO$496)</f>
        <v>9443.84</v>
      </c>
      <c r="J66" s="303"/>
      <c r="K66" s="178"/>
      <c r="L66" s="281">
        <f>SUMIFS(BV_Data_An_Cour!$P:$P,BV_Data_An_Cour!$U:$U,$B66,BV_Data_An_Cour!$V:$V,$C66,BV_Data_An_Cour!$W:$W,L$2)</f>
        <v>6387</v>
      </c>
      <c r="M66" s="303"/>
      <c r="N66" s="304">
        <f t="shared" si="43"/>
        <v>-3056.84</v>
      </c>
      <c r="O66" s="303"/>
      <c r="P66" s="178"/>
      <c r="Q66" s="180">
        <f>SUMIFS(BV_Data_An_Prec!$P:$P,BV_Data_An_Prec!$U:$U,$B66,BV_Data_An_Prec!$V:$V,$C66,BV_Data_An_Prec!$W:$W,Q$2)</f>
        <v>11917.79</v>
      </c>
      <c r="R66" s="303"/>
      <c r="S66" s="199">
        <f t="shared" si="44"/>
        <v>-5530.7900000000009</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original'!$A$8:$A$496=$A67)*('Budget original'!$C$3:$AO$3=F$2),'Budget original'!$C$8:$AO$496)</f>
        <v>10068.426666666666</v>
      </c>
      <c r="G67" s="302"/>
      <c r="H67" s="178"/>
      <c r="I67" s="179">
        <f>+SUMPRODUCT(('Budget révisé'!$A$8:$A$496=$A67)*('Budget révisé'!$C$3:$AO$3=I$2),'Budget révisé'!$C$8:$AO$496)</f>
        <v>10068.426666666666</v>
      </c>
      <c r="J67" s="303"/>
      <c r="K67" s="178"/>
      <c r="L67" s="281">
        <f>SUMIFS(BV_Data_An_Cour!$P:$P,BV_Data_An_Cour!$U:$U,$B67,BV_Data_An_Cour!$V:$V,$C67,BV_Data_An_Cour!$W:$W,L$2)</f>
        <v>6383.31</v>
      </c>
      <c r="M67" s="303"/>
      <c r="N67" s="304">
        <f t="shared" ref="N67" si="46">L67-I67</f>
        <v>-3685.1166666666659</v>
      </c>
      <c r="O67" s="303"/>
      <c r="P67" s="178"/>
      <c r="Q67" s="180">
        <f>SUMIFS(BV_Data_An_Prec!$P:$P,BV_Data_An_Prec!$U:$U,$B67,BV_Data_An_Prec!$V:$V,$C67,BV_Data_An_Prec!$W:$W,Q$2)</f>
        <v>31890.81</v>
      </c>
      <c r="R67" s="303"/>
      <c r="S67" s="199">
        <f t="shared" ref="S67" si="47">L67-Q67</f>
        <v>-25507.5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original'!$A$8:$A$496=$A68)*('Budget original'!$C$3:$AO$3=F$2),'Budget original'!$C$8:$AO$496)</f>
        <v>18360.944726765254</v>
      </c>
      <c r="G68" s="302"/>
      <c r="H68" s="178"/>
      <c r="I68" s="179">
        <f>+SUMPRODUCT(('Budget révisé'!$A$8:$A$496=$A68)*('Budget révisé'!$C$3:$AO$3=I$2),'Budget révisé'!$C$8:$AO$496)</f>
        <v>18360.944726765254</v>
      </c>
      <c r="J68" s="303"/>
      <c r="K68" s="178"/>
      <c r="L68" s="984">
        <f>AF447*W3</f>
        <v>20291.300999999999</v>
      </c>
      <c r="M68" s="303"/>
      <c r="N68" s="304">
        <f t="shared" ref="N68:N69" si="48">L68-I68</f>
        <v>1930.3562732347455</v>
      </c>
      <c r="O68" s="303"/>
      <c r="P68" s="178"/>
      <c r="Q68" s="180">
        <f>AL447*W3</f>
        <v>21986.185500000003</v>
      </c>
      <c r="R68" s="303"/>
      <c r="S68" s="199">
        <f t="shared" ref="S68:S69" si="49">L68-Q68</f>
        <v>-1694.8845000000038</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original'!$A$8:$A$496=$A69)*('Budget original'!$C$3:$AO$3=F$2),'Budget original'!$C$8:$AO$496)</f>
        <v>0</v>
      </c>
      <c r="G69" s="302"/>
      <c r="H69" s="178"/>
      <c r="I69" s="179">
        <f>+SUMPRODUCT(('Budget révisé'!$A$8:$A$496=$A69)*('Budget révisé'!$C$3:$AO$3=I$2),'Budget révisé'!$C$8:$AO$496)</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original'!$A$8:$A$496=$A70)*('Budget original'!$C$3:$AO$3=F$2),'Budget original'!$C$8:$AO$496)</f>
        <v>0</v>
      </c>
      <c r="G70" s="302"/>
      <c r="H70" s="178"/>
      <c r="I70" s="179">
        <f>+SUMPRODUCT(('Budget révisé'!$A$8:$A$496=$A70)*('Budget révisé'!$C$3:$AO$3=I$2),'Budget révisé'!$C$8:$AO$496)</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original'!$A$8:$A$496=$A71)*('Budget original'!$C$3:$AO$3=F$2),'Budget original'!$C$8:$AO$496)</f>
        <v>0</v>
      </c>
      <c r="G71" s="302"/>
      <c r="H71" s="178"/>
      <c r="I71" s="179">
        <f>+SUMPRODUCT(('Budget révisé'!$A$8:$A$496=$A71)*('Budget révisé'!$C$3:$AO$3=I$2),'Budget révisé'!$C$8:$AO$496)</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0.22808067669979701</v>
      </c>
      <c r="F72" s="41">
        <f>+SUM(F55:F71)</f>
        <v>239215.02955620486</v>
      </c>
      <c r="G72" s="42" t="s">
        <v>111</v>
      </c>
      <c r="H72" s="40">
        <f>I72/I$27</f>
        <v>0.22808067669979701</v>
      </c>
      <c r="I72" s="41">
        <f>+SUM(I55:I71)</f>
        <v>239215.02955620486</v>
      </c>
      <c r="J72" s="42" t="s">
        <v>111</v>
      </c>
      <c r="K72" s="40">
        <f>L72/L$27</f>
        <v>0.15393421028704443</v>
      </c>
      <c r="L72" s="41">
        <f>+SUM(L55:L71)</f>
        <v>176073.52100000001</v>
      </c>
      <c r="M72" s="44"/>
      <c r="N72" s="41">
        <f>+SUM(N55:N71)</f>
        <v>-63141.508556204863</v>
      </c>
      <c r="O72" s="42" t="s">
        <v>111</v>
      </c>
      <c r="P72" s="40">
        <f>Q72/Q$27</f>
        <v>0.41474415329880848</v>
      </c>
      <c r="Q72" s="41">
        <f>+SUM(Q55:Q71)</f>
        <v>286437.25550000003</v>
      </c>
      <c r="R72" s="44"/>
      <c r="S72" s="316">
        <f>+SUM(S55:S71)</f>
        <v>-110363.73449999998</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1.2553728140481382</v>
      </c>
      <c r="F74" s="41">
        <f>F41+F54+F72</f>
        <v>1316657.1108163006</v>
      </c>
      <c r="G74" s="42" t="s">
        <v>111</v>
      </c>
      <c r="H74" s="40">
        <f>I74/I$27</f>
        <v>1.2553728140481382</v>
      </c>
      <c r="I74" s="41">
        <f>I41+I54+I72</f>
        <v>1316657.1108163006</v>
      </c>
      <c r="J74" s="42" t="s">
        <v>111</v>
      </c>
      <c r="K74" s="40">
        <f>L74/L$27</f>
        <v>1.1185026068714121</v>
      </c>
      <c r="L74" s="41">
        <f>L41+L54+L72</f>
        <v>1279369.2309999999</v>
      </c>
      <c r="M74" s="44"/>
      <c r="N74" s="46">
        <f>L74-I74</f>
        <v>-37287.879816300701</v>
      </c>
      <c r="O74" s="42" t="s">
        <v>111</v>
      </c>
      <c r="P74" s="40">
        <f>Q74/Q$27</f>
        <v>2.091370436465648</v>
      </c>
      <c r="Q74" s="41">
        <f>Q41+Q54+Q72</f>
        <v>1444375.7755</v>
      </c>
      <c r="R74" s="44"/>
      <c r="S74" s="299">
        <f>L74-Q74</f>
        <v>-165006.54450000008</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original'!$A$8:$A$496=$A75)*('Budget original'!$C$3:$AO$3=F$2),'Budget original'!$C$8:$AO$496)</f>
        <v>51452.21808203253</v>
      </c>
      <c r="G75" s="302"/>
      <c r="H75" s="178"/>
      <c r="I75" s="179">
        <f>+SUMPRODUCT(('Budget révisé'!$A$8:$A$496=$A75)*('Budget révisé'!$C$3:$AO$3=I$2),'Budget révisé'!$C$8:$AO$496)</f>
        <v>51452.21808203253</v>
      </c>
      <c r="J75" s="303"/>
      <c r="K75" s="178"/>
      <c r="L75" s="554">
        <f>-SUMIFS(BV_Data_An_Cour!$P:$P,BV_Data_An_Cour!$U:$U,$B75,BV_Data_An_Cour!$V:$V,$C75,BV_Data_An_Cour!$W:$W,L$2)-L155</f>
        <v>96776.52</v>
      </c>
      <c r="M75" s="303"/>
      <c r="N75" s="304"/>
      <c r="O75" s="303"/>
      <c r="P75" s="178"/>
      <c r="Q75" s="554">
        <f>-SUMIFS(BV_Data_An_Prec!$P:$P,BV_Data_An_Prec!$U:$U,$B75,BV_Data_An_Prec!$V:$V,$C75,BV_Data_An_Prec!$W:$W,Q$2)-Q155</f>
        <v>157635.39000000001</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original'!$A$8:$A$496=$A76)*('Budget original'!$C$3:$AO$3=F$2),'Budget original'!$C$8:$AO$496)</f>
        <v>0</v>
      </c>
      <c r="G76" s="302"/>
      <c r="H76" s="178"/>
      <c r="I76" s="179">
        <f>+SUMPRODUCT(('Budget révisé'!$A$8:$A$496=$A76)*('Budget révisé'!$C$3:$AO$3=I$2),'Budget révisé'!$C$8:$AO$496)</f>
        <v>0</v>
      </c>
      <c r="J76" s="303"/>
      <c r="K76" s="178"/>
      <c r="L76" s="984">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original'!$A$8:$A$496=$A77)*('Budget original'!$C$3:$AO$3=F$2),'Budget original'!$C$8:$AO$496)</f>
        <v>0</v>
      </c>
      <c r="G77" s="302"/>
      <c r="H77" s="178"/>
      <c r="I77" s="179">
        <f>+SUMPRODUCT(('Budget révisé'!$A$8:$A$496=$A77)*('Budget révisé'!$C$3:$AO$3=I$2),'Budget révisé'!$C$8:$AO$496)</f>
        <v>0</v>
      </c>
      <c r="J77" s="303"/>
      <c r="K77" s="178"/>
      <c r="L77" s="984">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original'!$A$8:$A$496=$A78)*('Budget original'!$C$3:$AO$3=F$2),'Budget original'!$C$8:$AO$496)</f>
        <v>413986.54840316204</v>
      </c>
      <c r="G78" s="302"/>
      <c r="H78" s="178"/>
      <c r="I78" s="179">
        <f>+SUMPRODUCT(('Budget révisé'!$A$8:$A$496=$A78)*('Budget révisé'!$C$3:$AO$3=I$2),'Budget révisé'!$C$8:$AO$496)</f>
        <v>413986.54840316204</v>
      </c>
      <c r="J78" s="303"/>
      <c r="K78" s="178"/>
      <c r="L78" s="281">
        <f>-SUMIFS(BV_Data_An_Cour!$P:$P,BV_Data_An_Cour!$U:$U,$B78,BV_Data_An_Cour!$V:$V,$C78,BV_Data_An_Cour!$W:$W,L$2)</f>
        <v>480818</v>
      </c>
      <c r="M78" s="303"/>
      <c r="N78" s="304">
        <f t="shared" si="50"/>
        <v>66831.451596837956</v>
      </c>
      <c r="O78" s="303"/>
      <c r="P78" s="178"/>
      <c r="Q78" s="554">
        <f>-SUMIFS(BV_Data_An_Prec!$P:$P,BV_Data_An_Prec!$U:$U,$B78,BV_Data_An_Prec!$V:$V,$C78,BV_Data_An_Prec!$W:$W,Q$2)</f>
        <v>602493.85</v>
      </c>
      <c r="R78" s="303"/>
      <c r="S78" s="199">
        <f t="shared" si="51"/>
        <v>-121675.84999999998</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original'!$A$8:$A$496=$A79)*('Budget original'!$C$3:$AO$3=F$2),'Budget original'!$C$8:$AO$496)</f>
        <v>0</v>
      </c>
      <c r="G79" s="302"/>
      <c r="H79" s="178"/>
      <c r="I79" s="179">
        <f>+SUMPRODUCT(('Budget révisé'!$A$8:$A$496=$A79)*('Budget révisé'!$C$3:$AO$3=I$2),'Budget révisé'!$C$8:$AO$496)</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original'!$A$8:$A$496=$A80)*('Budget original'!$C$3:$AO$3=F$2),'Budget original'!$C$8:$AO$496)</f>
        <v>0</v>
      </c>
      <c r="G80" s="302"/>
      <c r="H80" s="178"/>
      <c r="I80" s="179">
        <f>+SUMPRODUCT(('Budget révisé'!$A$8:$A$496=$A80)*('Budget révisé'!$C$3:$AO$3=I$2),'Budget révisé'!$C$8:$AO$496)</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original'!$A$8:$A$496=$A81)*('Budget original'!$C$3:$AO$3=F$2),'Budget original'!$C$8:$AO$496)</f>
        <v>0</v>
      </c>
      <c r="G81" s="302"/>
      <c r="H81" s="178"/>
      <c r="I81" s="179">
        <f>+SUMPRODUCT(('Budget révisé'!$A$8:$A$496=$A81)*('Budget révisé'!$C$3:$AO$3=I$2),'Budget révisé'!$C$8:$AO$496)</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original'!$A$8:$A$496=$A82)*('Budget original'!$C$3:$AO$3=F$2),'Budget original'!$C$8:$AO$496)</f>
        <v>144641.28549924362</v>
      </c>
      <c r="G82" s="302"/>
      <c r="H82" s="178"/>
      <c r="I82" s="179">
        <f>+SUMPRODUCT(('Budget révisé'!$A$8:$A$496=$A82)*('Budget révisé'!$C$3:$AO$3=I$2),'Budget révisé'!$C$8:$AO$496)</f>
        <v>144641.28549924362</v>
      </c>
      <c r="J82" s="303"/>
      <c r="K82" s="178"/>
      <c r="L82" s="984">
        <f>-SUMIFS(BV_Data_An_Cour!$P:$P,BV_Data_An_Cour!$U:$U,$B82,BV_Data_An_Cour!$V:$V,$C82,BV_Data_An_Cour!$W:$W,L$2)-L158</f>
        <v>125994.70000000001</v>
      </c>
      <c r="M82" s="303"/>
      <c r="N82" s="304">
        <f t="shared" si="50"/>
        <v>-18646.585499243607</v>
      </c>
      <c r="O82" s="303"/>
      <c r="P82" s="178"/>
      <c r="Q82" s="554">
        <f>-SUMIFS(BV_Data_An_Prec!$P:$P,BV_Data_An_Prec!$U:$U,$B82,BV_Data_An_Prec!$V:$V,$C82,BV_Data_An_Prec!$W:$W,Q$2)-Q158</f>
        <v>112658.25</v>
      </c>
      <c r="R82" s="303"/>
      <c r="S82" s="199">
        <f t="shared" si="51"/>
        <v>13336.450000000012</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610080.05198443821</v>
      </c>
      <c r="G83" s="42"/>
      <c r="H83" s="40"/>
      <c r="I83" s="41">
        <f>+SUM(I75:I82)</f>
        <v>610080.05198443821</v>
      </c>
      <c r="J83" s="42"/>
      <c r="K83" s="40"/>
      <c r="L83" s="41">
        <f>+SUM(L75:L82)</f>
        <v>703589.22</v>
      </c>
      <c r="M83" s="44"/>
      <c r="N83" s="41">
        <f>+SUM(N75:N82)</f>
        <v>48184.866097594349</v>
      </c>
      <c r="O83" s="42"/>
      <c r="P83" s="40"/>
      <c r="Q83" s="41">
        <f>+SUM(Q75:Q82)</f>
        <v>872787.49</v>
      </c>
      <c r="R83" s="44"/>
      <c r="S83" s="316">
        <f>+SUM(S75:S82)</f>
        <v>-108339.39999999997</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342240.54824259854</v>
      </c>
      <c r="G85" s="436"/>
      <c r="H85" s="346"/>
      <c r="I85" s="343">
        <f>I27-I74+I83</f>
        <v>342240.54824259854</v>
      </c>
      <c r="J85" s="436"/>
      <c r="K85" s="342"/>
      <c r="L85" s="343">
        <f>L27-L74+L83</f>
        <v>568043.18899999955</v>
      </c>
      <c r="M85" s="436"/>
      <c r="N85" s="343">
        <f>N27-N41-N54-N72+N83</f>
        <v>180478.33883943353</v>
      </c>
      <c r="O85" s="436"/>
      <c r="P85" s="342"/>
      <c r="Q85" s="343">
        <f>Q27-Q74+Q83</f>
        <v>119047.74449999887</v>
      </c>
      <c r="R85" s="436"/>
      <c r="S85" s="347">
        <f>S27-S41-S54-S72+S83</f>
        <v>498163.00450000056</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AAD, Juillet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61" t="s">
        <v>77</v>
      </c>
      <c r="E91" s="1162"/>
      <c r="F91" s="1163"/>
      <c r="G91" s="1164" t="s">
        <v>145</v>
      </c>
      <c r="H91" s="1162"/>
      <c r="I91" s="1163"/>
      <c r="J91" s="1164" t="s">
        <v>79</v>
      </c>
      <c r="K91" s="1162"/>
      <c r="L91" s="1163"/>
      <c r="M91" s="1164" t="s">
        <v>80</v>
      </c>
      <c r="N91" s="1163"/>
      <c r="O91" s="1161" t="s">
        <v>81</v>
      </c>
      <c r="P91" s="1162"/>
      <c r="Q91" s="1163"/>
      <c r="R91" s="1164" t="s">
        <v>82</v>
      </c>
      <c r="S91" s="1165"/>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original'!$A$8:$A$496=$A93)*('Budget original'!$C$3:$AO$3=F$2),'Budget original'!$C$8:$AO$496)</f>
        <v>6720145.1503694085</v>
      </c>
      <c r="G93" s="183"/>
      <c r="H93" s="184"/>
      <c r="I93" s="177">
        <f>+SUMPRODUCT(('Budget révisé'!$A$8:$A$496=$A93)*('Budget révisé'!$C$3:$AO$3=I$2),'Budget révisé'!$C$8:$AO$496)</f>
        <v>6720145.1503694085</v>
      </c>
      <c r="J93" s="568"/>
      <c r="K93" s="184"/>
      <c r="L93" s="177">
        <f>-SUMIFS(BV_Data_An_Cour!$P:$P,BV_Data_An_Cour!$X:$X,"Oui",BV_Data_An_Cour!$U:$U,$B93)</f>
        <v>9172979.0900000017</v>
      </c>
      <c r="M93" s="395"/>
      <c r="N93" s="396"/>
      <c r="O93" s="568"/>
      <c r="P93" s="184"/>
      <c r="Q93" s="177">
        <f>-SUMIFS(BV_Data_An_Prec!$P:$P,BV_Data_An_Prec!$X:$X,"Oui",BV_Data_An_Prec!$U:$U,$B93)</f>
        <v>6182216.2599999998</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original'!$A$8:$A$496=$A94)*('Budget original'!$C$3:$AO$3=D$2),'Budget original'!$C$8:$AO$496)</f>
        <v>201.68829744686803</v>
      </c>
      <c r="E94" s="179">
        <f>IF(D94=0,0,F94/D94)</f>
        <v>750</v>
      </c>
      <c r="F94" s="179">
        <f>+SUMPRODUCT(('Budget original'!$A$8:$A$496=$A94)*('Budget original'!$C$3:$AO$3=F$2),'Budget original'!$C$8:$AO$496)</f>
        <v>151266.22308515102</v>
      </c>
      <c r="G94" s="182">
        <f>+SUMPRODUCT(('Budget révisé'!$A$8:$A$496=$A94)*('Budget révisé'!$C$3:$AO$3=G$2),'Budget révisé'!$C$8:$AO$496)</f>
        <v>201.68829744686803</v>
      </c>
      <c r="H94" s="179">
        <f>IF(G94=0,0,I94/G94)</f>
        <v>750</v>
      </c>
      <c r="I94" s="179">
        <f>+SUMPRODUCT(('Budget révisé'!$A$8:$A$496=$A94)*('Budget révisé'!$C$3:$AO$3=I$2),'Budget révisé'!$C$8:$AO$496)</f>
        <v>151266.22308515102</v>
      </c>
      <c r="J94" s="569">
        <f>-SUMIFS(BV_Data_An_Cour!$P:$P,BV_Data_An_Cour!$U:$U,$B94,BV_Data_An_Cour!$V:$V,$C94,BV_Data_An_Cour!$W:$W,J$2)</f>
        <v>239</v>
      </c>
      <c r="K94" s="179">
        <f t="shared" ref="K94:K95" si="56">IF(J94=0,0,L94/J94)</f>
        <v>1104.7834309623438</v>
      </c>
      <c r="L94" s="180">
        <f>-SUMIFS(BV_Data_An_Cour!$P:$P,BV_Data_An_Cour!$U:$U,$B94,BV_Data_An_Cour!$V:$V,$C94,BV_Data_An_Cour!$W:$W,$L2)</f>
        <v>264043.24000000017</v>
      </c>
      <c r="M94" s="182">
        <f>J94-G94</f>
        <v>37.311702553131965</v>
      </c>
      <c r="N94" s="180">
        <f>L94-I94</f>
        <v>112777.01691484914</v>
      </c>
      <c r="O94" s="569">
        <f>-SUMIFS(BV_Data_An_Prec!$P:$P,BV_Data_An_Prec!$U:$U,$B94,BV_Data_An_Prec!$V:$V,$C94,BV_Data_An_Prec!$W:$W,O$2)</f>
        <v>66</v>
      </c>
      <c r="P94" s="179">
        <f t="shared" ref="P94:P95" si="57">IF(O94=0,0,Q94/O94)</f>
        <v>738.17166666666537</v>
      </c>
      <c r="Q94" s="180">
        <f>-SUMIFS(BV_Data_An_Prec!$P:$P,BV_Data_An_Prec!$U:$U,$B94,BV_Data_An_Prec!$V:$V,$C94,BV_Data_An_Prec!$W:$W,$L2)</f>
        <v>48719.329999999914</v>
      </c>
      <c r="R94" s="182">
        <f t="shared" ref="R94:R95" si="58">J94-O94</f>
        <v>173</v>
      </c>
      <c r="S94" s="399">
        <f t="shared" ref="S94:S95" si="59">L94-Q94</f>
        <v>215323.91000000027</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original'!$A$8:$A$496=$A95)*('Budget original'!$C$3:$AO$3=D$2),'Budget original'!$C$8:$AO$496)</f>
        <v>11.503134835372702</v>
      </c>
      <c r="E95" s="184">
        <f t="shared" ref="E95:E104" si="60">IF(D95=0,0,F95/D95)</f>
        <v>749.99999999999989</v>
      </c>
      <c r="F95" s="179">
        <f>+SUMPRODUCT(('Budget original'!$A$8:$A$496=$A95)*('Budget original'!$C$3:$AO$3=F$2),'Budget original'!$C$8:$AO$496)</f>
        <v>8627.3511265295256</v>
      </c>
      <c r="G95" s="182">
        <f>+SUMPRODUCT(('Budget révisé'!$A$8:$A$496=$A95)*('Budget révisé'!$C$3:$AO$3=G$2),'Budget révisé'!$C$8:$AO$496)</f>
        <v>11.503134835372702</v>
      </c>
      <c r="H95" s="179">
        <f t="shared" ref="H95:H104" si="61">IF(G95=0,0,I95/G95)</f>
        <v>749.99999999999989</v>
      </c>
      <c r="I95" s="179">
        <f>+SUMPRODUCT(('Budget révisé'!$A$8:$A$496=$A95)*('Budget révisé'!$C$3:$AO$3=I$2),'Budget révisé'!$C$8:$AO$496)</f>
        <v>8627.3511265295256</v>
      </c>
      <c r="J95" s="182">
        <f>-SUMIFS(BV_Data_An_Cour!$P:$P,BV_Data_An_Cour!$U:$U,$B95,BV_Data_An_Cour!$V:$V,$C95,BV_Data_An_Cour!$W:$W,J$2)</f>
        <v>6</v>
      </c>
      <c r="K95" s="179">
        <f t="shared" si="56"/>
        <v>340.11166666666401</v>
      </c>
      <c r="L95" s="554">
        <f>-SUMIFS(BV_Data_An_Cour!$P:$P,BV_Data_An_Cour!$U:$U,$B95,BV_Data_An_Cour!$V:$V,$C95,BV_Data_An_Cour!$W:$W,$L2)</f>
        <v>2040.6699999999842</v>
      </c>
      <c r="M95" s="182"/>
      <c r="N95" s="180"/>
      <c r="O95" s="182">
        <f>-SUMIFS(BV_Data_An_Prec!$P:$P,BV_Data_An_Prec!$U:$U,$B95,BV_Data_An_Prec!$V:$V,$C95,BV_Data_An_Prec!$W:$W,O$2)</f>
        <v>170</v>
      </c>
      <c r="P95" s="179">
        <f t="shared" si="57"/>
        <v>487.42470588235182</v>
      </c>
      <c r="Q95" s="554">
        <f>-SUMIFS(BV_Data_An_Prec!$P:$P,BV_Data_An_Prec!$U:$U,$B95,BV_Data_An_Prec!$V:$V,$C95,BV_Data_An_Prec!$W:$W,$L2)</f>
        <v>82862.199999999808</v>
      </c>
      <c r="R95" s="182">
        <f t="shared" si="58"/>
        <v>-164</v>
      </c>
      <c r="S95" s="399">
        <f t="shared" si="59"/>
        <v>-80821.529999999824</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213.19143228224073</v>
      </c>
      <c r="E96" s="179">
        <f t="shared" si="60"/>
        <v>750.00000000000011</v>
      </c>
      <c r="F96" s="402">
        <f t="shared" ref="F96" si="62">+F94+F95</f>
        <v>159893.57421168056</v>
      </c>
      <c r="G96" s="403">
        <f>+G95+G94</f>
        <v>213.19143228224073</v>
      </c>
      <c r="H96" s="401">
        <f t="shared" si="61"/>
        <v>750.00000000000011</v>
      </c>
      <c r="I96" s="402">
        <f t="shared" ref="I96" si="63">+I94+I95</f>
        <v>159893.57421168056</v>
      </c>
      <c r="J96" s="403">
        <f t="shared" ref="J96" si="64">+J94+J95</f>
        <v>245</v>
      </c>
      <c r="K96" s="401">
        <f>IF(J96&lt;=0,0,L96/J96)</f>
        <v>1086.0567755102047</v>
      </c>
      <c r="L96" s="402">
        <f>+L94+L95</f>
        <v>266083.91000000015</v>
      </c>
      <c r="M96" s="403">
        <f>J96-G96</f>
        <v>31.808567717759274</v>
      </c>
      <c r="N96" s="402">
        <f>L96-I96</f>
        <v>106190.33578831959</v>
      </c>
      <c r="O96" s="403">
        <f t="shared" ref="O96" si="65">+O94+O95</f>
        <v>236</v>
      </c>
      <c r="P96" s="401">
        <f>IF(O96&lt;=0,0,Q96/O96)</f>
        <v>557.54885593220229</v>
      </c>
      <c r="Q96" s="402">
        <f>+Q94+Q95</f>
        <v>131581.52999999974</v>
      </c>
      <c r="R96" s="403">
        <f t="shared" ref="R96:S96" si="66">R94+R95</f>
        <v>9</v>
      </c>
      <c r="S96" s="404">
        <f t="shared" si="66"/>
        <v>134502.38000000044</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0.14920190449139822</v>
      </c>
      <c r="N97" s="332">
        <f>N96/I96</f>
        <v>0.66413135306948534</v>
      </c>
      <c r="O97" s="303"/>
      <c r="P97" s="178"/>
      <c r="Q97" s="312"/>
      <c r="R97" s="362">
        <f>R96/O96</f>
        <v>3.8135593220338986E-2</v>
      </c>
      <c r="S97" s="333">
        <f>IF(Q96=0,0,(S96/Q96))</f>
        <v>1.0221980242971844</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original'!$A$8:$A$496=$A98)*('Budget original'!$C$3:$AO$3=D$2),'Budget original'!$C$8:$AO$496)</f>
        <v>0</v>
      </c>
      <c r="E98" s="179">
        <f t="shared" si="60"/>
        <v>0</v>
      </c>
      <c r="F98" s="179">
        <f>+SUMPRODUCT(('Budget original'!$A$8:$A$496=$A98)*('Budget original'!$C$3:$AO$3=F$2),'Budget original'!$C$8:$AO$496)</f>
        <v>0</v>
      </c>
      <c r="G98" s="303">
        <f>+SUMPRODUCT(('Budget révisé'!$A$8:$A$496=$A98)*('Budget révisé'!$C$3:$AO$3=G$2),'Budget révisé'!$C$8:$AO$496)</f>
        <v>0</v>
      </c>
      <c r="H98" s="179">
        <f t="shared" si="61"/>
        <v>0</v>
      </c>
      <c r="I98" s="179">
        <f>+SUMPRODUCT(('Budget révisé'!$A$8:$A$496=$A98)*('Budget révisé'!$C$3:$AO$3=I$2),'Budget révisé'!$C$8:$AO$496)</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original'!$A$8:$A$496=$A99)*('Budget original'!$C$3:$AO$3=D$2),'Budget original'!$C$8:$AO$496)</f>
        <v>180.65168735495135</v>
      </c>
      <c r="E99" s="179">
        <f t="shared" si="60"/>
        <v>120</v>
      </c>
      <c r="F99" s="179">
        <f>+SUMPRODUCT(('Budget original'!$A$8:$A$496=$A99)*('Budget original'!$C$3:$AO$3=F$2),'Budget original'!$C$8:$AO$496)</f>
        <v>21678.202482594163</v>
      </c>
      <c r="G99" s="303">
        <f>+SUMPRODUCT(('Budget révisé'!$A$8:$A$496=$A99)*('Budget révisé'!$C$3:$AO$3=G$2),'Budget révisé'!$C$8:$AO$496)</f>
        <v>180.65168735495135</v>
      </c>
      <c r="H99" s="179">
        <f t="shared" si="61"/>
        <v>120</v>
      </c>
      <c r="I99" s="179">
        <f>+SUMPRODUCT(('Budget révisé'!$A$8:$A$496=$A99)*('Budget révisé'!$C$3:$AO$3=I$2),'Budget révisé'!$C$8:$AO$496)</f>
        <v>21678.202482594163</v>
      </c>
      <c r="J99" s="182">
        <f>-SUMIFS(BV_Data_An_Cour!$P:$P,BV_Data_An_Cour!$U:$U,$B99,BV_Data_An_Cour!$V:$V,$C99,BV_Data_An_Cour!$W:$W,J$2)</f>
        <v>266</v>
      </c>
      <c r="K99" s="179">
        <f t="shared" si="67"/>
        <v>224.93383458646582</v>
      </c>
      <c r="L99" s="180">
        <f>-SUMIFS(BV_Data_An_Cour!$P:$P,BV_Data_An_Cour!$U:$U,$B99,BV_Data_An_Cour!$V:$V,$C99,BV_Data_An_Cour!$W:$W,L$2)</f>
        <v>59832.399999999907</v>
      </c>
      <c r="M99" s="182">
        <f t="shared" si="68"/>
        <v>85.348312645048651</v>
      </c>
      <c r="N99" s="180">
        <f t="shared" si="69"/>
        <v>38154.197517405744</v>
      </c>
      <c r="O99" s="182">
        <f>-SUMIFS(BV_Data_An_Prec!$P:$P,BV_Data_An_Prec!$U:$U,$B99,BV_Data_An_Prec!$V:$V,$C99,BV_Data_An_Prec!$W:$W,O$2)</f>
        <v>176</v>
      </c>
      <c r="P99" s="179">
        <f t="shared" si="70"/>
        <v>193.33954545454552</v>
      </c>
      <c r="Q99" s="180">
        <f>-SUMIFS(BV_Data_An_Prec!$P:$P,BV_Data_An_Prec!$U:$U,$B99,BV_Data_An_Prec!$V:$V,$C99,BV_Data_An_Prec!$W:$W,Q$2)</f>
        <v>34027.760000000009</v>
      </c>
      <c r="R99" s="182">
        <f t="shared" si="71"/>
        <v>90</v>
      </c>
      <c r="S99" s="399">
        <f t="shared" si="72"/>
        <v>25804.639999999898</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original'!$A$8:$A$496=$A101)*('Budget original'!$C$3:$AO$3=D$2),'Budget original'!$C$8:$AO$496)</f>
        <v>0</v>
      </c>
      <c r="E101" s="179">
        <f t="shared" si="60"/>
        <v>0</v>
      </c>
      <c r="F101" s="180">
        <f>+SUMPRODUCT(('Budget original'!$A$8:$A$496=$A101)*('Budget original'!$C$3:$AO$3=F$2),'Budget original'!$C$8:$AO$496)</f>
        <v>171425.85929127544</v>
      </c>
      <c r="G101" s="182">
        <f>+SUMPRODUCT(('Budget révisé'!$A$8:$A$496=$A101)*('Budget révisé'!$C$3:$AO$3=G$2),'Budget révisé'!$C$8:$AO$496)</f>
        <v>0</v>
      </c>
      <c r="H101" s="179">
        <f t="shared" si="61"/>
        <v>0</v>
      </c>
      <c r="I101" s="179">
        <f>+SUMPRODUCT(('Budget révisé'!$A$8:$A$496=$A101)*('Budget révisé'!$C$3:$AO$3=I$2),'Budget révisé'!$C$8:$AO$496)</f>
        <v>171425.85929127544</v>
      </c>
      <c r="J101" s="182"/>
      <c r="K101" s="179">
        <f>IF(J96=0,0,L101/J96)</f>
        <v>717.59722448979596</v>
      </c>
      <c r="L101" s="180">
        <f>-SUMIFS(BV_Data_An_Cour!$P:$P,BV_Data_An_Cour!$U:$U,$B101,BV_Data_An_Cour!$V:$V,$C101,BV_Data_An_Cour!$W:$W,$L2)</f>
        <v>175811.32</v>
      </c>
      <c r="M101" s="182"/>
      <c r="N101" s="180">
        <f t="shared" ref="N101:N104" si="73">L101-I101</f>
        <v>4385.4607087245677</v>
      </c>
      <c r="O101" s="182"/>
      <c r="P101" s="179">
        <f>IF(O96=0,0,Q101/O96)</f>
        <v>501.43216101694918</v>
      </c>
      <c r="Q101" s="180">
        <f>-SUMIFS(BV_Data_An_Prec!$P:$P,BV_Data_An_Prec!$U:$U,$B101,BV_Data_An_Prec!$V:$V,$C101,BV_Data_An_Prec!$W:$W,$L2)</f>
        <v>118337.99</v>
      </c>
      <c r="R101" s="182">
        <f t="shared" ref="R101:R103" si="74">O101-K101</f>
        <v>-717.59722448979596</v>
      </c>
      <c r="S101" s="399">
        <f t="shared" ref="S101:S104" si="75">L101-Q101</f>
        <v>57473.33</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original'!$A$8:$A$496=$A102)*('Budget original'!$C$3:$AO$3=D$2),'Budget original'!$C$8:$AO$496)</f>
        <v>0</v>
      </c>
      <c r="E102" s="179">
        <f t="shared" si="60"/>
        <v>0</v>
      </c>
      <c r="F102" s="180">
        <f>+SUMPRODUCT(('Budget original'!$A$8:$A$496=$A102)*('Budget original'!$C$3:$AO$3=F$2),'Budget original'!$C$8:$AO$496)</f>
        <v>194282.64053011217</v>
      </c>
      <c r="G102" s="182">
        <f>+SUMPRODUCT(('Budget révisé'!$A$8:$A$496=$A102)*('Budget révisé'!$C$3:$AO$3=G$2),'Budget révisé'!$C$8:$AO$496)</f>
        <v>0</v>
      </c>
      <c r="H102" s="179">
        <f t="shared" si="61"/>
        <v>0</v>
      </c>
      <c r="I102" s="179">
        <f>+SUMPRODUCT(('Budget révisé'!$A$8:$A$496=$A102)*('Budget révisé'!$C$3:$AO$3=I$2),'Budget révisé'!$C$8:$AO$496)</f>
        <v>194282.64053011217</v>
      </c>
      <c r="J102" s="182"/>
      <c r="K102" s="179">
        <f>IF(J96=0,0,L102/J96)</f>
        <v>1170.239673469388</v>
      </c>
      <c r="L102" s="180">
        <f>-SUMIFS(BV_Data_An_Cour!$P:$P,BV_Data_An_Cour!$U:$U,$B102,BV_Data_An_Cour!$V:$V,$C102,BV_Data_An_Cour!$W:$W,$L2)</f>
        <v>286708.72000000003</v>
      </c>
      <c r="M102" s="182"/>
      <c r="N102" s="180">
        <f t="shared" si="73"/>
        <v>92426.07946988786</v>
      </c>
      <c r="O102" s="182"/>
      <c r="P102" s="179">
        <f>IF(O96=0,0,Q102/O96)</f>
        <v>674.35915254237295</v>
      </c>
      <c r="Q102" s="180">
        <f>-SUMIFS(BV_Data_An_Prec!$P:$P,BV_Data_An_Prec!$U:$U,$B102,BV_Data_An_Prec!$V:$V,$C102,BV_Data_An_Prec!$W:$W,$L2)</f>
        <v>159148.76</v>
      </c>
      <c r="R102" s="182">
        <f t="shared" si="74"/>
        <v>-1170.239673469388</v>
      </c>
      <c r="S102" s="399">
        <f t="shared" si="75"/>
        <v>127559.96000000002</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original'!$A$8:$A$496=$A103)*('Budget original'!$C$3:$AO$3=D$2),'Budget original'!$C$8:$AO$496)</f>
        <v>0</v>
      </c>
      <c r="E103" s="184">
        <f t="shared" si="60"/>
        <v>0</v>
      </c>
      <c r="F103" s="180">
        <f>+SUMPRODUCT(('Budget original'!$A$8:$A$496=$A103)*('Budget original'!$C$3:$AO$3=F$2),'Budget original'!$C$8:$AO$496)</f>
        <v>0</v>
      </c>
      <c r="G103" s="182">
        <f>+SUMPRODUCT(('Budget révisé'!$A$8:$A$496=$A103)*('Budget révisé'!$C$3:$AO$3=G$2),'Budget révisé'!$C$8:$AO$496)</f>
        <v>0</v>
      </c>
      <c r="H103" s="407">
        <f t="shared" si="61"/>
        <v>0</v>
      </c>
      <c r="I103" s="179">
        <f>+SUMPRODUCT(('Budget révisé'!$A$8:$A$496=$A103)*('Budget révisé'!$C$3:$AO$3=I$2),'Budget révisé'!$C$8:$AO$496)</f>
        <v>0</v>
      </c>
      <c r="J103" s="182"/>
      <c r="K103" s="407">
        <f>IF(J96=0,0,L103/J96)</f>
        <v>55.461959183673471</v>
      </c>
      <c r="L103" s="180">
        <f>-SUMIFS(BV_Data_An_Cour!$P:$P,BV_Data_An_Cour!$U:$U,$B103,BV_Data_An_Cour!$V:$V,$C103,BV_Data_An_Cour!$W:$W,$L$2)</f>
        <v>13588.18</v>
      </c>
      <c r="M103" s="406"/>
      <c r="N103" s="180">
        <f t="shared" si="73"/>
        <v>13588.18</v>
      </c>
      <c r="O103" s="182"/>
      <c r="P103" s="407">
        <f>IF(O96=0,0,Q103/O96)</f>
        <v>51.63741525423729</v>
      </c>
      <c r="Q103" s="180">
        <f>-SUMIFS(BV_Data_An_Prec!$P:$P,BV_Data_An_Prec!$U:$U,$B103,BV_Data_An_Prec!$V:$V,$C103,BV_Data_An_Prec!$W:$W,$L$2)</f>
        <v>12186.43</v>
      </c>
      <c r="R103" s="182">
        <f t="shared" si="74"/>
        <v>-55.461959183673471</v>
      </c>
      <c r="S103" s="399">
        <f t="shared" si="75"/>
        <v>1401.75</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213.19143228224073</v>
      </c>
      <c r="E104" s="179">
        <f t="shared" si="60"/>
        <v>1715.3996101364521</v>
      </c>
      <c r="F104" s="402">
        <f>F101+F102+F103</f>
        <v>365708.49982138758</v>
      </c>
      <c r="G104" s="403">
        <f>G96</f>
        <v>213.19143228224073</v>
      </c>
      <c r="H104" s="401">
        <f t="shared" si="61"/>
        <v>1715.3996101364521</v>
      </c>
      <c r="I104" s="402">
        <f>I101+I102+I103</f>
        <v>365708.49982138758</v>
      </c>
      <c r="J104" s="403">
        <f>J96</f>
        <v>245</v>
      </c>
      <c r="K104" s="401">
        <f>IF(J104&lt;=0,0,L104/J104)</f>
        <v>1943.2988571428573</v>
      </c>
      <c r="L104" s="402">
        <f>L101+L102+L103</f>
        <v>476108.22000000003</v>
      </c>
      <c r="M104" s="182">
        <f>J104-G104</f>
        <v>31.808567717759274</v>
      </c>
      <c r="N104" s="402">
        <f t="shared" si="73"/>
        <v>110399.72017861245</v>
      </c>
      <c r="O104" s="403">
        <f>O96</f>
        <v>236</v>
      </c>
      <c r="P104" s="401">
        <f>IF(O104&lt;=0,0,Q104/O104)</f>
        <v>1227.4287288135592</v>
      </c>
      <c r="Q104" s="402">
        <f>Q101+Q102+Q103</f>
        <v>289673.18</v>
      </c>
      <c r="R104" s="411"/>
      <c r="S104" s="404">
        <f t="shared" si="75"/>
        <v>186435.04000000004</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0.30187901083111768</v>
      </c>
      <c r="O105" s="303"/>
      <c r="P105" s="178"/>
      <c r="Q105" s="304"/>
      <c r="R105" s="325"/>
      <c r="S105" s="333">
        <f>IF(Q104=0,0,(S104/Q104))</f>
        <v>0.64360476865687066</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393.8431196371921</v>
      </c>
      <c r="E107" s="30">
        <f>IF(D107&lt;=0,0,F107/D107)</f>
        <v>1389.5895325524955</v>
      </c>
      <c r="F107" s="28">
        <f>F96+F104+F99</f>
        <v>547280.27651566232</v>
      </c>
      <c r="G107" s="29">
        <f>G96+G99</f>
        <v>393.8431196371921</v>
      </c>
      <c r="H107" s="30">
        <f>IF(G107&lt;=0,0,I107/G107)</f>
        <v>1389.5895325524955</v>
      </c>
      <c r="I107" s="28">
        <f>I96+I104+I99</f>
        <v>547280.27651566232</v>
      </c>
      <c r="J107" s="29">
        <f>J96+J99</f>
        <v>511</v>
      </c>
      <c r="K107" s="30">
        <f>IF(J107&lt;=0,0,L107/J107)</f>
        <v>1569.5196281800393</v>
      </c>
      <c r="L107" s="28">
        <f>L96+L104+L99</f>
        <v>802024.53</v>
      </c>
      <c r="M107" s="29">
        <f>J107-G107</f>
        <v>117.1568803628079</v>
      </c>
      <c r="N107" s="28">
        <f>L107-I107</f>
        <v>254744.25348433771</v>
      </c>
      <c r="O107" s="29">
        <f>O96+O99</f>
        <v>412</v>
      </c>
      <c r="P107" s="30">
        <f>IF(O107&lt;=0,0,Q107/O107)</f>
        <v>1105.0545388349508</v>
      </c>
      <c r="Q107" s="28">
        <f>Q96+Q104+Q99</f>
        <v>455282.46999999974</v>
      </c>
      <c r="R107" s="29">
        <f>J107-O107</f>
        <v>99</v>
      </c>
      <c r="S107" s="363">
        <f>L107-Q107</f>
        <v>346742.06000000029</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0.29747093327600266</v>
      </c>
      <c r="N108" s="34">
        <f>N107/I107</f>
        <v>0.46547311207011371</v>
      </c>
      <c r="O108" s="31"/>
      <c r="P108" s="365"/>
      <c r="Q108" s="32"/>
      <c r="R108" s="33">
        <f>O107/R107</f>
        <v>4.1616161616161618</v>
      </c>
      <c r="S108" s="412">
        <f>IF(Q107=0,0,(S107/Q107))</f>
        <v>0.76159765167325788</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444.3434608560384</v>
      </c>
      <c r="F111" s="179">
        <f>+SUMPRODUCT(('Budget original'!$A$8:$A$496=$A111)*('Budget original'!$C$3:$AO$3=F$2),'Budget original'!$C$8:$AO$496)</f>
        <v>94730.218845146592</v>
      </c>
      <c r="G111" s="302"/>
      <c r="H111" s="197">
        <f t="shared" ref="H111:H116" si="77">I111/G$96</f>
        <v>444.3434608560384</v>
      </c>
      <c r="I111" s="179">
        <f>+SUMPRODUCT(('Budget révisé'!$A$8:$A$496=$A111)*('Budget révisé'!$C$3:$AO$3=I$2),'Budget révisé'!$C$8:$AO$496)</f>
        <v>94730.218845146592</v>
      </c>
      <c r="J111" s="975"/>
      <c r="K111" s="197">
        <f t="shared" ref="K111:K116" si="78">IF($J$96=0,0,L111/(J$94+J$95))</f>
        <v>485.33538775510203</v>
      </c>
      <c r="L111" s="180">
        <f>SUMIFS(BV_Data_An_Cour!$P:$P,BV_Data_An_Cour!$U:$U,$B111,BV_Data_An_Cour!$V:$V,$C111,BV_Data_An_Cour!$W:$W,$L$2)</f>
        <v>118907.17</v>
      </c>
      <c r="M111" s="303"/>
      <c r="N111" s="304">
        <f t="shared" ref="N111:N121" si="79">L111-I111</f>
        <v>24176.951154853406</v>
      </c>
      <c r="O111" s="303"/>
      <c r="P111" s="197">
        <f t="shared" ref="P111:P116" si="80">IF($J$96=0,0,Q111/(O$94+O$95))</f>
        <v>402.71826271186438</v>
      </c>
      <c r="Q111" s="180">
        <f>SUMIFS(BV_Data_An_Prec!$P:$P,BV_Data_An_Prec!$U:$U,$B111,BV_Data_An_Prec!$V:$V,$C111,BV_Data_An_Prec!$W:$W,$L$2)</f>
        <v>95041.51</v>
      </c>
      <c r="R111" s="303"/>
      <c r="S111" s="199">
        <f t="shared" ref="S111:S121" si="81">L111-Q111</f>
        <v>23865.660000000003</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514.61988304093575</v>
      </c>
      <c r="F112" s="177">
        <f>+SUMPRODUCT(('Budget original'!$A$8:$A$496=$A112)*('Budget original'!$C$3:$AO$3=F$2),'Budget original'!$C$8:$AO$496)</f>
        <v>109712.54994641629</v>
      </c>
      <c r="G112" s="309"/>
      <c r="H112" s="413">
        <f t="shared" si="77"/>
        <v>514.61988304093575</v>
      </c>
      <c r="I112" s="177">
        <f>+SUMPRODUCT(('Budget révisé'!$A$8:$A$496=$A112)*('Budget révisé'!$C$3:$AO$3=I$2),'Budget révisé'!$C$8:$AO$496)</f>
        <v>109712.54994641629</v>
      </c>
      <c r="J112" s="976"/>
      <c r="K112" s="413">
        <f t="shared" si="78"/>
        <v>590.71808163265302</v>
      </c>
      <c r="L112" s="180">
        <f>SUMIFS(BV_Data_An_Cour!$P:$P,BV_Data_An_Cour!$U:$U,$B112,BV_Data_An_Cour!$V:$V,$C112,BV_Data_An_Cour!$W:$W,$L$2)</f>
        <v>144725.93</v>
      </c>
      <c r="M112" s="310"/>
      <c r="N112" s="311">
        <f t="shared" si="79"/>
        <v>35013.380053583707</v>
      </c>
      <c r="O112" s="310"/>
      <c r="P112" s="413">
        <f t="shared" si="80"/>
        <v>307.77487288135592</v>
      </c>
      <c r="Q112" s="180">
        <f>SUMIFS(BV_Data_An_Prec!$P:$P,BV_Data_An_Prec!$U:$U,$B112,BV_Data_An_Prec!$V:$V,$C112,BV_Data_An_Prec!$W:$W,$L$2)</f>
        <v>72634.87</v>
      </c>
      <c r="R112" s="310"/>
      <c r="S112" s="202">
        <f t="shared" si="81"/>
        <v>72091.06</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54.000000000000007</v>
      </c>
      <c r="F113" s="179">
        <f>+SUMPRODUCT(('Budget original'!$A$8:$A$496=$A113)*('Budget original'!$C$3:$AO$3=F$2),'Budget original'!$C$8:$AO$496)</f>
        <v>11512.337343241001</v>
      </c>
      <c r="G113" s="302"/>
      <c r="H113" s="197">
        <f t="shared" si="77"/>
        <v>54.000000000000007</v>
      </c>
      <c r="I113" s="179">
        <f>+SUMPRODUCT(('Budget révisé'!$A$8:$A$496=$A113)*('Budget révisé'!$C$3:$AO$3=I$2),'Budget révisé'!$C$8:$AO$496)</f>
        <v>11512.337343241001</v>
      </c>
      <c r="J113" s="303"/>
      <c r="K113" s="197">
        <f t="shared" si="78"/>
        <v>65.313591836734687</v>
      </c>
      <c r="L113" s="181">
        <f>SUMIFS(BV_Data_An_Cour!$P:$P,BV_Data_An_Cour!$U:$U,$B113,BV_Data_An_Cour!$V:$V,$C113,BV_Data_An_Cour!$W:$W,$L$2)</f>
        <v>16001.83</v>
      </c>
      <c r="M113" s="303"/>
      <c r="N113" s="304">
        <f t="shared" si="79"/>
        <v>4489.4926567589991</v>
      </c>
      <c r="O113" s="303"/>
      <c r="P113" s="197">
        <f t="shared" si="80"/>
        <v>60.259067796610168</v>
      </c>
      <c r="Q113" s="181">
        <f>SUMIFS(BV_Data_An_Prec!$P:$P,BV_Data_An_Prec!$U:$U,$B113,BV_Data_An_Prec!$V:$V,$C113,BV_Data_An_Prec!$W:$W,$L$2)</f>
        <v>14221.14</v>
      </c>
      <c r="R113" s="303"/>
      <c r="S113" s="199">
        <f t="shared" si="81"/>
        <v>1780.6900000000005</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105</v>
      </c>
      <c r="F114" s="179">
        <f>+SUMPRODUCT(('Budget original'!$A$8:$A$496=$A114)*('Budget original'!$C$3:$AO$3=F$2),'Budget original'!$C$8:$AO$496)</f>
        <v>22385.100389635278</v>
      </c>
      <c r="G114" s="302"/>
      <c r="H114" s="197">
        <f t="shared" si="77"/>
        <v>105</v>
      </c>
      <c r="I114" s="179">
        <f>+SUMPRODUCT(('Budget révisé'!$A$8:$A$496=$A114)*('Budget révisé'!$C$3:$AO$3=I$2),'Budget révisé'!$C$8:$AO$496)</f>
        <v>22385.100389635278</v>
      </c>
      <c r="J114" s="303"/>
      <c r="K114" s="197">
        <f t="shared" si="78"/>
        <v>22.730979591836736</v>
      </c>
      <c r="L114" s="180">
        <f>SUMIFS(BV_Data_An_Cour!$P:$P,BV_Data_An_Cour!$U:$U,$B114,BV_Data_An_Cour!$V:$V,$C114,BV_Data_An_Cour!$W:$W,$L$2)</f>
        <v>5569.09</v>
      </c>
      <c r="M114" s="303"/>
      <c r="N114" s="304">
        <f t="shared" si="79"/>
        <v>-16816.010389635278</v>
      </c>
      <c r="O114" s="303"/>
      <c r="P114" s="197">
        <f t="shared" si="80"/>
        <v>43.427457627118642</v>
      </c>
      <c r="Q114" s="180">
        <f>SUMIFS(BV_Data_An_Prec!$P:$P,BV_Data_An_Prec!$U:$U,$B114,BV_Data_An_Prec!$V:$V,$C114,BV_Data_An_Prec!$W:$W,$L$2)</f>
        <v>10248.879999999999</v>
      </c>
      <c r="R114" s="303"/>
      <c r="S114" s="199">
        <f t="shared" si="81"/>
        <v>-4679.7899999999991</v>
      </c>
      <c r="T114" s="222"/>
      <c r="U114" s="222"/>
      <c r="V114" s="222"/>
      <c r="W114" s="978"/>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61</v>
      </c>
      <c r="F115" s="177">
        <f>+SUMPRODUCT(('Budget original'!$A$8:$A$496=$A115)*('Budget original'!$C$3:$AO$3=F$2),'Budget original'!$C$8:$AO$496)</f>
        <v>13004.677369216684</v>
      </c>
      <c r="G115" s="309"/>
      <c r="H115" s="413">
        <f t="shared" si="77"/>
        <v>61</v>
      </c>
      <c r="I115" s="177">
        <f>+SUMPRODUCT(('Budget révisé'!$A$8:$A$496=$A115)*('Budget révisé'!$C$3:$AO$3=I$2),'Budget révisé'!$C$8:$AO$496)</f>
        <v>13004.677369216684</v>
      </c>
      <c r="J115" s="310"/>
      <c r="K115" s="413">
        <f t="shared" si="78"/>
        <v>97.364530612244906</v>
      </c>
      <c r="L115" s="405">
        <f>SUMIFS(BV_Data_An_Cour!$P:$P,BV_Data_An_Cour!$U:$U,$B115,BV_Data_An_Cour!$V:$V,$C115,BV_Data_An_Cour!$W:$W,$L$2)</f>
        <v>23854.31</v>
      </c>
      <c r="M115" s="310"/>
      <c r="N115" s="311">
        <f t="shared" si="79"/>
        <v>10849.632630783317</v>
      </c>
      <c r="O115" s="310"/>
      <c r="P115" s="413">
        <f t="shared" si="80"/>
        <v>58.453898305084749</v>
      </c>
      <c r="Q115" s="405">
        <f>SUMIFS(BV_Data_An_Prec!$P:$P,BV_Data_An_Prec!$U:$U,$B115,BV_Data_An_Prec!$V:$V,$C115,BV_Data_An_Prec!$W:$W,$L$2)</f>
        <v>13795.12</v>
      </c>
      <c r="R115" s="310"/>
      <c r="S115" s="202">
        <f t="shared" si="81"/>
        <v>10059.19</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27.410526315789458</v>
      </c>
      <c r="F116" s="179">
        <f>+SUMPRODUCT(('Budget original'!$A$8:$A$496=$A116)*('Budget original'!$C$3:$AO$3=F$2),'Budget original'!$C$8:$AO$496)</f>
        <v>5843.6893648732057</v>
      </c>
      <c r="G116" s="302"/>
      <c r="H116" s="197">
        <f t="shared" si="77"/>
        <v>27.410526315789458</v>
      </c>
      <c r="I116" s="179">
        <f>+SUMPRODUCT(('Budget révisé'!$A$8:$A$496=$A116)*('Budget révisé'!$C$3:$AO$3=I$2),'Budget révisé'!$C$8:$AO$496)</f>
        <v>5843.6893648732057</v>
      </c>
      <c r="J116" s="303"/>
      <c r="K116" s="197">
        <f t="shared" si="78"/>
        <v>88.593387755102029</v>
      </c>
      <c r="L116" s="180">
        <f>SUMIFS(BV_Data_An_Cour!$P:$P,BV_Data_An_Cour!$U:$U,$B116,BV_Data_An_Cour!$V:$V,$C116,BV_Data_An_Cour!$W:$W,$L$2)</f>
        <v>21705.379999999997</v>
      </c>
      <c r="M116" s="303"/>
      <c r="N116" s="304">
        <f t="shared" si="79"/>
        <v>15861.690635126792</v>
      </c>
      <c r="O116" s="303"/>
      <c r="P116" s="197">
        <f t="shared" si="80"/>
        <v>170.25423728813558</v>
      </c>
      <c r="Q116" s="180">
        <f>SUMIFS(BV_Data_An_Prec!$P:$P,BV_Data_An_Prec!$U:$U,$B116,BV_Data_An_Prec!$V:$V,$C116,BV_Data_An_Prec!$W:$W,$L$2)</f>
        <v>40180</v>
      </c>
      <c r="R116" s="303"/>
      <c r="S116" s="199">
        <f t="shared" si="81"/>
        <v>-18474.620000000003</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41.366104852870158</v>
      </c>
      <c r="F117" s="179">
        <f>+SUMPRODUCT(('Budget original'!$A$8:$A$496=$A117)*('Budget original'!$C$3:$AO$3=F$2),'Budget original'!$C$8:$AO$496)</f>
        <v>8818.8991415207383</v>
      </c>
      <c r="G117" s="302"/>
      <c r="H117" s="197">
        <f t="shared" ref="H117:H119" si="84">I117/G$96</f>
        <v>41.366104852870158</v>
      </c>
      <c r="I117" s="179">
        <f>+SUMPRODUCT(('Budget révisé'!$A$8:$A$496=$A117)*('Budget révisé'!$C$3:$AO$3=I$2),'Budget révisé'!$C$8:$AO$496)</f>
        <v>8818.8991415207383</v>
      </c>
      <c r="J117" s="303"/>
      <c r="K117" s="197">
        <f t="shared" ref="K117:K119" si="85">IF($J$96=0,0,L117/(J$94+J$95))</f>
        <v>16.653061224489797</v>
      </c>
      <c r="L117" s="180">
        <f>SUMIFS(BV_Data_An_Cour!$P:$P,BV_Data_An_Cour!$U:$U,$B117,BV_Data_An_Cour!$V:$V,$C117,BV_Data_An_Cour!$W:$W,$L$2)</f>
        <v>4080</v>
      </c>
      <c r="M117" s="303"/>
      <c r="N117" s="304">
        <f t="shared" ref="N117:N119" si="86">L117-I117</f>
        <v>-4738.8991415207383</v>
      </c>
      <c r="O117" s="303"/>
      <c r="P117" s="197">
        <f t="shared" ref="P117:P119" si="87">IF($J$96=0,0,Q117/(O$94+O$95))</f>
        <v>5.8129237288135593</v>
      </c>
      <c r="Q117" s="180">
        <f>SUMIFS(BV_Data_An_Prec!$P:$P,BV_Data_An_Prec!$U:$U,$B117,BV_Data_An_Prec!$V:$V,$C117,BV_Data_An_Prec!$W:$W,$L$2)</f>
        <v>1371.85</v>
      </c>
      <c r="R117" s="303"/>
      <c r="S117" s="199">
        <f t="shared" ref="S117:S119" si="88">L117-Q117</f>
        <v>2708.15</v>
      </c>
      <c r="T117" s="222"/>
      <c r="U117" s="222"/>
      <c r="V117" s="222"/>
      <c r="W117" s="97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original'!$A$8:$A$496=$A118)*('Budget original'!$C$3:$AO$3=F$2),'Budget original'!$C$8:$AO$496)</f>
        <v>0</v>
      </c>
      <c r="G118" s="302"/>
      <c r="H118" s="197">
        <f t="shared" si="84"/>
        <v>0</v>
      </c>
      <c r="I118" s="179">
        <f>+SUMPRODUCT(('Budget révisé'!$A$8:$A$496=$A118)*('Budget révisé'!$C$3:$AO$3=I$2),'Budget révisé'!$C$8:$AO$496)</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original'!$A$8:$A$496=$A119)*('Budget original'!$C$3:$AO$3=F$2),'Budget original'!$C$8:$AO$496)</f>
        <v>0</v>
      </c>
      <c r="G119" s="302"/>
      <c r="H119" s="197">
        <f t="shared" si="84"/>
        <v>0</v>
      </c>
      <c r="I119" s="179">
        <f>+SUMPRODUCT(('Budget révisé'!$A$8:$A$496=$A119)*('Budget révisé'!$C$3:$AO$3=I$2),'Budget révisé'!$C$8:$AO$496)</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original'!$A$8:$A$496=$A120)*('Budget original'!$C$3:$AO$3=F$2),'Budget original'!$C$8:$AO$496)</f>
        <v>0</v>
      </c>
      <c r="G120" s="302"/>
      <c r="H120" s="197">
        <f>I120/G$96</f>
        <v>0</v>
      </c>
      <c r="I120" s="179">
        <f>+SUMPRODUCT(('Budget révisé'!$A$8:$A$496=$A120)*('Budget révisé'!$C$3:$AO$3=I$2),'Budget révisé'!$C$8:$AO$496)</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0.48605346074889483</v>
      </c>
      <c r="F121" s="41">
        <f>SUM(F111:F120)</f>
        <v>266007.4724000498</v>
      </c>
      <c r="G121" s="42" t="s">
        <v>111</v>
      </c>
      <c r="H121" s="40">
        <f>I121/I$107</f>
        <v>0.48605346074889483</v>
      </c>
      <c r="I121" s="41">
        <f>SUM(I111:I120)</f>
        <v>266007.4724000498</v>
      </c>
      <c r="J121" s="42" t="s">
        <v>111</v>
      </c>
      <c r="K121" s="40">
        <f>L121/L$107</f>
        <v>0.41749809073794791</v>
      </c>
      <c r="L121" s="41">
        <f>SUM(L111:L120)</f>
        <v>334843.71000000002</v>
      </c>
      <c r="M121" s="44"/>
      <c r="N121" s="41">
        <f t="shared" si="79"/>
        <v>68836.237599950226</v>
      </c>
      <c r="O121" s="42" t="s">
        <v>111</v>
      </c>
      <c r="P121" s="40">
        <f>Q121/Q$107</f>
        <v>0.54360399599835274</v>
      </c>
      <c r="Q121" s="41">
        <f>SUM(Q111:Q120)</f>
        <v>247493.37000000002</v>
      </c>
      <c r="R121" s="44"/>
      <c r="S121" s="316">
        <f t="shared" si="81"/>
        <v>87350.34</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original'!$A$8:$A$496=$A122)*('Budget original'!$C$3:$AO$3=F$2),'Budget original'!$C$8:$AO$496)</f>
        <v>45246.2530651341</v>
      </c>
      <c r="G122" s="303"/>
      <c r="H122" s="178"/>
      <c r="I122" s="179">
        <f>+SUMPRODUCT(('Budget révisé'!$A$8:$A$496=$A122)*('Budget révisé'!$C$3:$AO$3=I$2),'Budget révisé'!$C$8:$AO$496)</f>
        <v>45246.2530651341</v>
      </c>
      <c r="J122" s="303"/>
      <c r="K122" s="178"/>
      <c r="L122" s="281">
        <f>SUMIFS(BV_Data_An_Cour!$P:$P,BV_Data_An_Cour!$U:$U,$B122,BV_Data_An_Cour!$V:$V,$C122,BV_Data_An_Cour!$W:$W,$L$2)</f>
        <v>73252.61</v>
      </c>
      <c r="M122" s="303"/>
      <c r="N122" s="304"/>
      <c r="O122" s="303"/>
      <c r="P122" s="178"/>
      <c r="Q122" s="180">
        <f>SUMIFS(BV_Data_An_Prec!$P:$P,BV_Data_An_Prec!$U:$U,$B122,BV_Data_An_Prec!$V:$V,$C122,BV_Data_An_Prec!$W:$W,$L$2)</f>
        <v>50020.39</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original'!$A$8:$A$496=$A123)*('Budget original'!$C$3:$AO$3=F$2),'Budget original'!$C$8:$AO$496)</f>
        <v>15297.307490513413</v>
      </c>
      <c r="G123" s="302"/>
      <c r="H123" s="178"/>
      <c r="I123" s="177">
        <f>+SUMPRODUCT(('Budget révisé'!$A$8:$A$496=$A123)*('Budget révisé'!$C$3:$AO$3=I$2),'Budget révisé'!$C$8:$AO$496)</f>
        <v>15297.307490513413</v>
      </c>
      <c r="J123" s="303"/>
      <c r="K123" s="178"/>
      <c r="L123" s="177">
        <f>SUMIFS(BV_Data_An_Cour!$P:$P,BV_Data_An_Cour!$U:$U,$B123,BV_Data_An_Cour!$V:$V,$C123,BV_Data_An_Cour!$W:$W,$L$2)</f>
        <v>14044.66</v>
      </c>
      <c r="M123" s="303"/>
      <c r="N123" s="304">
        <f t="shared" ref="N123:N152" si="89">L123-I123</f>
        <v>-1252.6474905134128</v>
      </c>
      <c r="O123" s="303"/>
      <c r="P123" s="178"/>
      <c r="Q123" s="177">
        <f>SUMIFS(BV_Data_An_Prec!$P:$P,BV_Data_An_Prec!$U:$U,$B123,BV_Data_An_Prec!$V:$V,$C123,BV_Data_An_Prec!$W:$W,$L$2)</f>
        <v>21017.24</v>
      </c>
      <c r="R123" s="303"/>
      <c r="S123" s="199">
        <f t="shared" ref="S123:S152" si="90">L123-Q123</f>
        <v>-6972.5800000000017</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original'!$A$8:$A$496=$A124)*('Budget original'!$C$3:$AO$3=F$2),'Budget original'!$C$8:$AO$496)</f>
        <v>48234.886519393112</v>
      </c>
      <c r="G124" s="393"/>
      <c r="H124" s="352"/>
      <c r="I124" s="179">
        <f>+SUMPRODUCT(('Budget révisé'!$A$8:$A$496=$A124)*('Budget révisé'!$C$3:$AO$3=I$2),'Budget révisé'!$C$8:$AO$496)</f>
        <v>48234.886519393112</v>
      </c>
      <c r="J124" s="368"/>
      <c r="K124" s="352"/>
      <c r="L124" s="281">
        <f>SUMIFS(BV_Data_An_Cour!$P:$P,BV_Data_An_Cour!$U:$U,$B124,BV_Data_An_Cour!$V:$V,$C124,BV_Data_An_Cour!$W:$W,$L$2)</f>
        <v>49908.41</v>
      </c>
      <c r="M124" s="368"/>
      <c r="N124" s="356">
        <f t="shared" si="89"/>
        <v>1673.5234806068911</v>
      </c>
      <c r="O124" s="368"/>
      <c r="P124" s="352"/>
      <c r="Q124" s="180">
        <f>SUMIFS(BV_Data_An_Prec!$P:$P,BV_Data_An_Prec!$U:$U,$B124,BV_Data_An_Prec!$V:$V,$C124,BV_Data_An_Prec!$W:$W,$L$2)</f>
        <v>77074.05</v>
      </c>
      <c r="R124" s="368"/>
      <c r="S124" s="201">
        <f t="shared" si="90"/>
        <v>-27165.64</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original'!$A$8:$A$496=$A125)*('Budget original'!$C$3:$AO$3=F$2),'Budget original'!$C$8:$AO$496)</f>
        <v>0</v>
      </c>
      <c r="G125" s="302"/>
      <c r="H125" s="178"/>
      <c r="I125" s="179">
        <f>+SUMPRODUCT(('Budget révisé'!$A$8:$A$496=$A125)*('Budget révisé'!$C$3:$AO$3=I$2),'Budget révisé'!$C$8:$AO$496)</f>
        <v>0</v>
      </c>
      <c r="J125" s="303"/>
      <c r="K125" s="178"/>
      <c r="L125" s="180">
        <f>SUMIFS(BV_Data_An_Cour!$P:$P,BV_Data_An_Cour!$U:$U,$B125,BV_Data_An_Cour!$V:$V,$C125,BV_Data_An_Cour!$W:$W,$L$2)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original'!$A$8:$A$496=$A126)*('Budget original'!$C$3:$AO$3=F$2),'Budget original'!$C$8:$AO$496)</f>
        <v>0</v>
      </c>
      <c r="G126" s="302"/>
      <c r="H126" s="178"/>
      <c r="I126" s="179">
        <f>+SUMPRODUCT(('Budget révisé'!$A$8:$A$496=$A126)*('Budget révisé'!$C$3:$AO$3=I$2),'Budget révisé'!$C$8:$AO$496)</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original'!$A$8:$A$496=$A127)*('Budget original'!$C$3:$AO$3=F$2),'Budget original'!$C$8:$AO$496)</f>
        <v>0</v>
      </c>
      <c r="G127" s="302"/>
      <c r="H127" s="178"/>
      <c r="I127" s="179">
        <f>+SUMPRODUCT(('Budget révisé'!$A$8:$A$496=$A127)*('Budget révisé'!$C$3:$AO$3=I$2),'Budget révisé'!$C$8:$AO$496)</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original'!$A$8:$A$496=$A128)*('Budget original'!$C$3:$AO$3=F$2),'Budget original'!$C$8:$AO$496)</f>
        <v>0</v>
      </c>
      <c r="G128" s="302"/>
      <c r="H128" s="178"/>
      <c r="I128" s="179">
        <f>+SUMPRODUCT(('Budget révisé'!$A$8:$A$496=$A128)*('Budget révisé'!$C$3:$AO$3=I$2),'Budget révisé'!$C$8:$AO$496)</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original'!$A$8:$A$496=$A129)*('Budget original'!$C$3:$AO$3=F$2),'Budget original'!$C$8:$AO$496)</f>
        <v>37586.545903992417</v>
      </c>
      <c r="G129" s="302"/>
      <c r="H129" s="178"/>
      <c r="I129" s="179">
        <f>+SUMPRODUCT(('Budget révisé'!$A$8:$A$496=$A129)*('Budget révisé'!$C$3:$AO$3=I$2),'Budget révisé'!$C$8:$AO$496)</f>
        <v>37586.545903992417</v>
      </c>
      <c r="J129" s="303"/>
      <c r="K129" s="178"/>
      <c r="L129" s="180">
        <f>SUMIFS(BV_Data_An_Cour!$P:$P,BV_Data_An_Cour!$U:$U,$B129,BV_Data_An_Cour!$V:$V,$C129,BV_Data_An_Cour!$W:$W,$L$2)</f>
        <v>24302.52</v>
      </c>
      <c r="M129" s="303"/>
      <c r="N129" s="304">
        <f t="shared" si="92"/>
        <v>-13284.025903992417</v>
      </c>
      <c r="O129" s="303"/>
      <c r="P129" s="178"/>
      <c r="Q129" s="180">
        <f>SUMIFS(BV_Data_An_Prec!$P:$P,BV_Data_An_Prec!$U:$U,$B129,BV_Data_An_Prec!$V:$V,$C129,BV_Data_An_Prec!$W:$W,$L$2)</f>
        <v>38297.25</v>
      </c>
      <c r="R129" s="303"/>
      <c r="S129" s="199">
        <f t="shared" si="93"/>
        <v>-13994.73</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2">
        <f>+SUMPRODUCT(('Budget original'!$A$8:$A$496=$A130)*('Budget original'!$C$3:$AO$3=F$2),'Budget original'!$C$8:$AO$496)</f>
        <v>37586.545903992417</v>
      </c>
      <c r="G130" s="287"/>
      <c r="H130" s="286"/>
      <c r="I130" s="632">
        <f>+SUMPRODUCT(('Budget révisé'!$A$8:$A$496=$A130)*('Budget révisé'!$C$3:$AO$3=I$2),'Budget révisé'!$C$8:$AO$496)</f>
        <v>37586.545903992417</v>
      </c>
      <c r="J130" s="288"/>
      <c r="K130" s="286"/>
      <c r="L130" s="633">
        <f>SUMIFS(BV_Data_An_Cour!$P:$P,BV_Data_An_Cour!$U:$U,$B130,BV_Data_An_Cour!$V:$V,$C130,BV_Data_An_Cour!$W:$W,$L$2)</f>
        <v>40630.29</v>
      </c>
      <c r="M130" s="288"/>
      <c r="N130" s="356">
        <f t="shared" si="89"/>
        <v>3043.7440960075837</v>
      </c>
      <c r="O130" s="288"/>
      <c r="P130" s="286"/>
      <c r="Q130" s="633">
        <f>SUMIFS(BV_Data_An_Prec!$P:$P,BV_Data_An_Prec!$U:$U,$B130,BV_Data_An_Prec!$V:$V,$C130,BV_Data_An_Prec!$W:$W,$L$2)</f>
        <v>39486.42</v>
      </c>
      <c r="R130" s="288"/>
      <c r="S130" s="290">
        <f t="shared" si="90"/>
        <v>1143.8700000000026</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original'!$A$8:$A$496=$A131)*('Budget original'!$C$3:$AO$3=F$2),'Budget original'!$C$8:$AO$496)</f>
        <v>26937.024564527899</v>
      </c>
      <c r="G131" s="283"/>
      <c r="H131" s="233"/>
      <c r="I131" s="231">
        <f>+SUMPRODUCT(('Budget révisé'!$A$8:$A$496=$A131)*('Budget révisé'!$C$3:$AO$3=I$2),'Budget révisé'!$C$8:$AO$496)</f>
        <v>26937.024564527899</v>
      </c>
      <c r="J131" s="227"/>
      <c r="K131" s="233"/>
      <c r="L131" s="281">
        <f>SUMIFS(BV_Data_An_Cour!$P:$P,BV_Data_An_Cour!$U:$U,$B131,BV_Data_An_Cour!$V:$V,$C131,BV_Data_An_Cour!$W:$W,$L$2)</f>
        <v>29118.37</v>
      </c>
      <c r="M131" s="227"/>
      <c r="N131" s="304">
        <f t="shared" si="89"/>
        <v>2181.3454354720998</v>
      </c>
      <c r="O131" s="227"/>
      <c r="P131" s="233"/>
      <c r="Q131" s="281">
        <f>SUMIFS(BV_Data_An_Prec!$P:$P,BV_Data_An_Prec!$U:$U,$B131,BV_Data_An_Prec!$V:$V,$C131,BV_Data_An_Prec!$W:$W,$L$2)</f>
        <v>25019.38</v>
      </c>
      <c r="R131" s="227"/>
      <c r="S131" s="284">
        <f t="shared" si="90"/>
        <v>4098.989999999998</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original'!$A$8:$A$496=$A132)*('Budget original'!$C$3:$AO$3=F$2),'Budget original'!$C$8:$AO$496)</f>
        <v>6264.4243173320701</v>
      </c>
      <c r="G132" s="283"/>
      <c r="H132" s="233"/>
      <c r="I132" s="231">
        <f>+SUMPRODUCT(('Budget révisé'!$A$8:$A$496=$A132)*('Budget révisé'!$C$3:$AO$3=I$2),'Budget révisé'!$C$8:$AO$496)</f>
        <v>6264.4243173320701</v>
      </c>
      <c r="J132" s="227"/>
      <c r="K132" s="233"/>
      <c r="L132" s="281">
        <f>SUMIFS(BV_Data_An_Cour!$P:$P,BV_Data_An_Cour!$U:$U,$B132,BV_Data_An_Cour!$V:$V,$C132,BV_Data_An_Cour!$W:$W,$L$2)</f>
        <v>6771.71</v>
      </c>
      <c r="M132" s="227"/>
      <c r="N132" s="304">
        <f t="shared" si="89"/>
        <v>507.2856826679299</v>
      </c>
      <c r="O132" s="227"/>
      <c r="P132" s="233"/>
      <c r="Q132" s="281">
        <f>SUMIFS(BV_Data_An_Prec!$P:$P,BV_Data_An_Prec!$U:$U,$B132,BV_Data_An_Prec!$V:$V,$C132,BV_Data_An_Prec!$W:$W,$L$2)</f>
        <v>9804.02</v>
      </c>
      <c r="R132" s="227"/>
      <c r="S132" s="284">
        <f t="shared" si="90"/>
        <v>-3032.3100000000004</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original'!$A$8:$A$496=$A133)*('Budget original'!$C$3:$AO$3=F$2),'Budget original'!$C$8:$AO$496)</f>
        <v>0</v>
      </c>
      <c r="G133" s="294"/>
      <c r="H133" s="293"/>
      <c r="I133" s="231">
        <f>+SUMPRODUCT(('Budget révisé'!$A$8:$A$496=$A133)*('Budget révisé'!$C$3:$AO$3=I$2),'Budget révisé'!$C$8:$AO$496)</f>
        <v>0</v>
      </c>
      <c r="J133" s="295"/>
      <c r="K133" s="293"/>
      <c r="L133" s="281">
        <f>SUMIFS(BV_Data_An_Cour!$P:$P,BV_Data_An_Cour!$U:$U,$B133,BV_Data_An_Cour!$V:$V,$C133,BV_Data_An_Cour!$W:$W,$L$2)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0.39678570027668603</v>
      </c>
      <c r="F134" s="41">
        <f>+SUM(F122:F133)</f>
        <v>217152.98776488545</v>
      </c>
      <c r="G134" s="42" t="s">
        <v>111</v>
      </c>
      <c r="H134" s="40">
        <f>I134/I$107</f>
        <v>0.39678570027668603</v>
      </c>
      <c r="I134" s="41">
        <f>+SUM(I122:I133)</f>
        <v>217152.98776488545</v>
      </c>
      <c r="J134" s="42" t="s">
        <v>111</v>
      </c>
      <c r="K134" s="40">
        <f>L134/L$107</f>
        <v>0.29678465071386279</v>
      </c>
      <c r="L134" s="41">
        <f>SUM(L122:L133)</f>
        <v>238028.56999999998</v>
      </c>
      <c r="M134" s="43"/>
      <c r="N134" s="46">
        <f t="shared" si="89"/>
        <v>20875.582235114533</v>
      </c>
      <c r="O134" s="42" t="s">
        <v>111</v>
      </c>
      <c r="P134" s="40">
        <f>Q134/Q$107</f>
        <v>0.57265273139112982</v>
      </c>
      <c r="Q134" s="41">
        <f>SUM(Q122:Q133)</f>
        <v>260718.74999999997</v>
      </c>
      <c r="R134" s="43"/>
      <c r="S134" s="299">
        <f t="shared" si="90"/>
        <v>-22690.179999999993</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original'!$A$8:$A$496=$A135)*('Budget original'!$C$3:$AO$3=F$2),'Budget original'!$C$8:$AO$496)</f>
        <v>0</v>
      </c>
      <c r="G135" s="302"/>
      <c r="H135" s="178"/>
      <c r="I135" s="179">
        <f>+SUMPRODUCT(('Budget révisé'!$A$8:$A$496=$A135)*('Budget révisé'!$C$3:$AO$3=I$2),'Budget révisé'!$C$8:$AO$496)</f>
        <v>0</v>
      </c>
      <c r="J135" s="303"/>
      <c r="K135" s="178"/>
      <c r="L135" s="281">
        <f>SUMIFS(BV_Data_An_Cour!$P:$P,BV_Data_An_Cour!$U:$U,$B135,BV_Data_An_Cour!$V:$V,$C135,BV_Data_An_Cour!$W:$W,$L$2)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original'!$A$8:$A$496=$A136)*('Budget original'!$C$3:$AO$3=F$2),'Budget original'!$C$8:$AO$496)</f>
        <v>0</v>
      </c>
      <c r="G136" s="302"/>
      <c r="H136" s="178"/>
      <c r="I136" s="179">
        <f>+SUMPRODUCT(('Budget révisé'!$A$8:$A$496=$A136)*('Budget révisé'!$C$3:$AO$3=I$2),'Budget révisé'!$C$8:$AO$496)</f>
        <v>0</v>
      </c>
      <c r="J136" s="303"/>
      <c r="K136" s="178"/>
      <c r="L136" s="281">
        <f>SUMIFS(BV_Data_An_Cour!$P:$P,BV_Data_An_Cour!$U:$U,$B136,BV_Data_An_Cour!$V:$V,$C136,BV_Data_An_Cour!$W:$W,$L$2)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original'!$A$8:$A$496=$A137)*('Budget original'!$C$3:$AO$3=F$2),'Budget original'!$C$8:$AO$496)</f>
        <v>1505.28</v>
      </c>
      <c r="G137" s="309"/>
      <c r="H137" s="308"/>
      <c r="I137" s="177">
        <f>+SUMPRODUCT(('Budget révisé'!$A$8:$A$496=$A137)*('Budget révisé'!$C$3:$AO$3=I$2),'Budget révisé'!$C$8:$AO$496)</f>
        <v>1505.28</v>
      </c>
      <c r="J137" s="310"/>
      <c r="K137" s="308"/>
      <c r="L137" s="244">
        <f>SUMIFS(BV_Data_An_Cour!$P:$P,BV_Data_An_Cour!$U:$U,$B137,BV_Data_An_Cour!$V:$V,$C137,BV_Data_An_Cour!$W:$W,$L$2)</f>
        <v>-2193.4699999999998</v>
      </c>
      <c r="M137" s="310"/>
      <c r="N137" s="311">
        <f t="shared" si="89"/>
        <v>-3698.75</v>
      </c>
      <c r="O137" s="310"/>
      <c r="P137" s="308"/>
      <c r="Q137" s="177">
        <f>SUMIFS(BV_Data_An_Prec!$P:$P,BV_Data_An_Prec!$U:$U,$B137,BV_Data_An_Prec!$V:$V,$C137,BV_Data_An_Prec!$W:$W,$L$2)</f>
        <v>5868.71</v>
      </c>
      <c r="R137" s="310"/>
      <c r="S137" s="202">
        <f t="shared" si="90"/>
        <v>-8062.18</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original'!$A$8:$A$496=$A138)*('Budget original'!$C$3:$AO$3=F$2),'Budget original'!$C$8:$AO$496)</f>
        <v>18639.415199999999</v>
      </c>
      <c r="G138" s="302"/>
      <c r="H138" s="178"/>
      <c r="I138" s="179">
        <f>+SUMPRODUCT(('Budget révisé'!$A$8:$A$496=$A138)*('Budget révisé'!$C$3:$AO$3=I$2),'Budget révisé'!$C$8:$AO$496)</f>
        <v>18639.415199999999</v>
      </c>
      <c r="J138" s="303"/>
      <c r="K138" s="178"/>
      <c r="L138" s="281">
        <f>SUMIFS(BV_Data_An_Cour!$P:$P,BV_Data_An_Cour!$U:$U,$B138,BV_Data_An_Cour!$V:$V,$C138,BV_Data_An_Cour!$W:$W,$L$2)</f>
        <v>12902.43</v>
      </c>
      <c r="M138" s="303"/>
      <c r="N138" s="304">
        <f t="shared" si="89"/>
        <v>-5736.9851999999992</v>
      </c>
      <c r="O138" s="303"/>
      <c r="P138" s="178"/>
      <c r="Q138" s="180">
        <f>SUMIFS(BV_Data_An_Prec!$P:$P,BV_Data_An_Prec!$U:$U,$B138,BV_Data_An_Prec!$V:$V,$C138,BV_Data_An_Prec!$W:$W,$L$2)</f>
        <v>17103.09</v>
      </c>
      <c r="R138" s="303"/>
      <c r="S138" s="199">
        <f t="shared" si="90"/>
        <v>-4200.66</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original'!$A$8:$A$496=$A139)*('Budget original'!$C$3:$AO$3=F$2),'Budget original'!$C$8:$AO$496)</f>
        <v>4190.8040999999994</v>
      </c>
      <c r="G139" s="302"/>
      <c r="H139" s="178"/>
      <c r="I139" s="179">
        <f>+SUMPRODUCT(('Budget révisé'!$A$8:$A$496=$A139)*('Budget révisé'!$C$3:$AO$3=I$2),'Budget révisé'!$C$8:$AO$496)</f>
        <v>4190.8040999999994</v>
      </c>
      <c r="J139" s="303"/>
      <c r="K139" s="178"/>
      <c r="L139" s="281">
        <f>SUMIFS(BV_Data_An_Cour!$P:$P,BV_Data_An_Cour!$U:$U,$B139,BV_Data_An_Cour!$V:$V,$C139,BV_Data_An_Cour!$W:$W,$L$2)</f>
        <v>1729.98</v>
      </c>
      <c r="M139" s="303"/>
      <c r="N139" s="304">
        <f t="shared" si="89"/>
        <v>-2460.8240999999994</v>
      </c>
      <c r="O139" s="303"/>
      <c r="P139" s="178"/>
      <c r="Q139" s="180">
        <f>SUMIFS(BV_Data_An_Prec!$P:$P,BV_Data_An_Prec!$U:$U,$B139,BV_Data_An_Prec!$V:$V,$C139,BV_Data_An_Prec!$W:$W,$L$2)</f>
        <v>5104.68</v>
      </c>
      <c r="R139" s="303"/>
      <c r="S139" s="199">
        <f t="shared" si="90"/>
        <v>-3374.7000000000003</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original'!$A$8:$A$496=$A140)*('Budget original'!$C$3:$AO$3=F$2),'Budget original'!$C$8:$AO$496)</f>
        <v>19701.923499999997</v>
      </c>
      <c r="G140" s="309"/>
      <c r="H140" s="308"/>
      <c r="I140" s="177">
        <f>+SUMPRODUCT(('Budget révisé'!$A$8:$A$496=$A140)*('Budget révisé'!$C$3:$AO$3=I$2),'Budget révisé'!$C$8:$AO$496)</f>
        <v>19701.923499999997</v>
      </c>
      <c r="J140" s="310"/>
      <c r="K140" s="308"/>
      <c r="L140" s="244">
        <f>SUMIFS(BV_Data_An_Cour!$P:$P,BV_Data_An_Cour!$U:$U,$B140,BV_Data_An_Cour!$V:$V,$C140,BV_Data_An_Cour!$W:$W,$L$2)</f>
        <v>7603.78</v>
      </c>
      <c r="M140" s="310"/>
      <c r="N140" s="311">
        <f t="shared" si="89"/>
        <v>-12098.143499999998</v>
      </c>
      <c r="O140" s="310"/>
      <c r="P140" s="308"/>
      <c r="Q140" s="177">
        <f>SUMIFS(BV_Data_An_Prec!$P:$P,BV_Data_An_Prec!$U:$U,$B140,BV_Data_An_Prec!$V:$V,$C140,BV_Data_An_Prec!$W:$W,$L$2)</f>
        <v>12388.48</v>
      </c>
      <c r="R140" s="310"/>
      <c r="S140" s="202">
        <f t="shared" si="90"/>
        <v>-4784.7</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original'!$A$8:$A$496=$A141)*('Budget original'!$C$3:$AO$3=F$2),'Budget original'!$C$8:$AO$496)</f>
        <v>852.76572912896302</v>
      </c>
      <c r="G141" s="302"/>
      <c r="H141" s="178"/>
      <c r="I141" s="179">
        <f>+SUMPRODUCT(('Budget révisé'!$A$8:$A$496=$A141)*('Budget révisé'!$C$3:$AO$3=I$2),'Budget révisé'!$C$8:$AO$496)</f>
        <v>852.76572912896302</v>
      </c>
      <c r="J141" s="303"/>
      <c r="K141" s="178"/>
      <c r="L141" s="281">
        <f>SUMIFS(BV_Data_An_Cour!$P:$P,BV_Data_An_Cour!$U:$U,$B141,BV_Data_An_Cour!$V:$V,$C141,BV_Data_An_Cour!$W:$W,$L$2)</f>
        <v>445.2</v>
      </c>
      <c r="M141" s="303"/>
      <c r="N141" s="304">
        <f t="shared" si="89"/>
        <v>-407.56572912896303</v>
      </c>
      <c r="O141" s="303"/>
      <c r="P141" s="178"/>
      <c r="Q141" s="180">
        <f>SUMIFS(BV_Data_An_Prec!$P:$P,BV_Data_An_Prec!$U:$U,$B141,BV_Data_An_Prec!$V:$V,$C141,BV_Data_An_Prec!$W:$W,$L$2)</f>
        <v>765</v>
      </c>
      <c r="R141" s="303"/>
      <c r="S141" s="199">
        <f t="shared" si="90"/>
        <v>-319.8</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original'!$A$8:$A$496=$A142)*('Budget original'!$C$3:$AO$3=F$2),'Budget original'!$C$8:$AO$496)</f>
        <v>70</v>
      </c>
      <c r="G142" s="302"/>
      <c r="H142" s="178"/>
      <c r="I142" s="179">
        <f>+SUMPRODUCT(('Budget révisé'!$A$8:$A$496=$A142)*('Budget révisé'!$C$3:$AO$3=I$2),'Budget révisé'!$C$8:$AO$496)</f>
        <v>70</v>
      </c>
      <c r="J142" s="303"/>
      <c r="K142" s="178"/>
      <c r="L142" s="281">
        <f>SUMIFS(BV_Data_An_Cour!$P:$P,BV_Data_An_Cour!$U:$U,$B142,BV_Data_An_Cour!$V:$V,$C142,BV_Data_An_Cour!$W:$W,$L$2)</f>
        <v>0</v>
      </c>
      <c r="M142" s="303"/>
      <c r="N142" s="304">
        <f t="shared" si="89"/>
        <v>-70</v>
      </c>
      <c r="O142" s="303"/>
      <c r="P142" s="178"/>
      <c r="Q142" s="180">
        <f>SUMIFS(BV_Data_An_Prec!$P:$P,BV_Data_An_Prec!$U:$U,$B142,BV_Data_An_Prec!$V:$V,$C142,BV_Data_An_Prec!$W:$W,$L$2)</f>
        <v>70</v>
      </c>
      <c r="R142" s="303"/>
      <c r="S142" s="199">
        <f t="shared" si="90"/>
        <v>-70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original'!$A$8:$A$496=$A143)*('Budget original'!$C$3:$AO$3=F$2),'Budget original'!$C$8:$AO$496)</f>
        <v>1831.1999999999996</v>
      </c>
      <c r="G143" s="302"/>
      <c r="H143" s="178"/>
      <c r="I143" s="179">
        <f>+SUMPRODUCT(('Budget révisé'!$A$8:$A$496=$A143)*('Budget révisé'!$C$3:$AO$3=I$2),'Budget révisé'!$C$8:$AO$496)</f>
        <v>1831.1999999999996</v>
      </c>
      <c r="J143" s="303"/>
      <c r="K143" s="178"/>
      <c r="L143" s="984">
        <f>SUMIFS(BV_Data_An_Cour!$P:$P,BV_Data_An_Cour!$U:$U,$B143,BV_Data_An_Cour!$V:$V,$C143,BV_Data_An_Cour!$W:$W,$L$2)</f>
        <v>1680.57</v>
      </c>
      <c r="M143" s="303"/>
      <c r="N143" s="304">
        <f t="shared" si="89"/>
        <v>-150.62999999999965</v>
      </c>
      <c r="O143" s="303"/>
      <c r="P143" s="178"/>
      <c r="Q143" s="554">
        <f>SUMIFS(BV_Data_An_Prec!$P:$P,BV_Data_An_Prec!$U:$U,$B143,BV_Data_An_Prec!$V:$V,$C143,BV_Data_An_Prec!$W:$W,$L$2)</f>
        <v>1554</v>
      </c>
      <c r="R143" s="303"/>
      <c r="S143" s="199">
        <f t="shared" si="90"/>
        <v>126.56999999999994</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original'!$A$8:$A$496=$A144)*('Budget original'!$C$3:$AO$3=F$2),'Budget original'!$C$8:$AO$496)</f>
        <v>1876.6440000000002</v>
      </c>
      <c r="G144" s="302"/>
      <c r="H144" s="178"/>
      <c r="I144" s="179">
        <f>+SUMPRODUCT(('Budget révisé'!$A$8:$A$496=$A144)*('Budget révisé'!$C$3:$AO$3=I$2),'Budget révisé'!$C$8:$AO$496)</f>
        <v>1876.6440000000002</v>
      </c>
      <c r="J144" s="303"/>
      <c r="K144" s="178"/>
      <c r="L144" s="281">
        <f>SUMIFS(BV_Data_An_Cour!$P:$P,BV_Data_An_Cour!$U:$U,$B144,BV_Data_An_Cour!$V:$V,$C144,BV_Data_An_Cour!$W:$W,$L$2)</f>
        <v>506.48</v>
      </c>
      <c r="M144" s="303"/>
      <c r="N144" s="304">
        <f t="shared" si="89"/>
        <v>-1370.1640000000002</v>
      </c>
      <c r="O144" s="303"/>
      <c r="P144" s="178"/>
      <c r="Q144" s="180">
        <f>SUMIFS(BV_Data_An_Prec!$P:$P,BV_Data_An_Prec!$U:$U,$B144,BV_Data_An_Prec!$V:$V,$C144,BV_Data_An_Prec!$W:$W,$L$2)</f>
        <v>1012.84</v>
      </c>
      <c r="R144" s="303"/>
      <c r="S144" s="199">
        <f t="shared" si="90"/>
        <v>-506.36</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original'!$A$8:$A$496=$A145)*('Budget original'!$C$3:$AO$3=F$2),'Budget original'!$C$8:$AO$496)</f>
        <v>726.59999999999991</v>
      </c>
      <c r="G145" s="302"/>
      <c r="H145" s="178"/>
      <c r="I145" s="179">
        <f>+SUMPRODUCT(('Budget révisé'!$A$8:$A$496=$A145)*('Budget révisé'!$C$3:$AO$3=I$2),'Budget révisé'!$C$8:$AO$496)</f>
        <v>726.59999999999991</v>
      </c>
      <c r="J145" s="303"/>
      <c r="K145" s="178"/>
      <c r="L145" s="281">
        <f>SUMIFS(BV_Data_An_Cour!$P:$P,BV_Data_An_Cour!$U:$U,$B145,BV_Data_An_Cour!$V:$V,$C145,BV_Data_An_Cour!$W:$W,$L$2)</f>
        <v>492.22</v>
      </c>
      <c r="M145" s="303"/>
      <c r="N145" s="304">
        <f t="shared" si="89"/>
        <v>-234.37999999999988</v>
      </c>
      <c r="O145" s="303"/>
      <c r="P145" s="178"/>
      <c r="Q145" s="180">
        <f>SUMIFS(BV_Data_An_Prec!$P:$P,BV_Data_An_Prec!$U:$U,$B145,BV_Data_An_Prec!$V:$V,$C145,BV_Data_An_Prec!$W:$W,$L$2)</f>
        <v>424.15</v>
      </c>
      <c r="R145" s="303"/>
      <c r="S145" s="199">
        <f t="shared" si="90"/>
        <v>68.07000000000005</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original'!$A$8:$A$496=$A146)*('Budget original'!$C$3:$AO$3=F$2),'Budget original'!$C$8:$AO$496)</f>
        <v>3016.44</v>
      </c>
      <c r="G146" s="302"/>
      <c r="H146" s="178"/>
      <c r="I146" s="179">
        <f>+SUMPRODUCT(('Budget révisé'!$A$8:$A$496=$A146)*('Budget révisé'!$C$3:$AO$3=I$2),'Budget révisé'!$C$8:$AO$496)</f>
        <v>3016.44</v>
      </c>
      <c r="J146" s="303"/>
      <c r="K146" s="178"/>
      <c r="L146" s="281">
        <f>SUMIFS(BV_Data_An_Cour!$P:$P,BV_Data_An_Cour!$U:$U,$B146,BV_Data_An_Cour!$V:$V,$C146,BV_Data_An_Cour!$W:$W,$L$2)</f>
        <v>1819.06</v>
      </c>
      <c r="M146" s="303"/>
      <c r="N146" s="304">
        <f t="shared" si="89"/>
        <v>-1197.3800000000001</v>
      </c>
      <c r="O146" s="303"/>
      <c r="P146" s="178"/>
      <c r="Q146" s="180">
        <f>SUMIFS(BV_Data_An_Prec!$P:$P,BV_Data_An_Prec!$U:$U,$B146,BV_Data_An_Prec!$V:$V,$C146,BV_Data_An_Prec!$W:$W,$L$2)</f>
        <v>4683.68</v>
      </c>
      <c r="R146" s="303"/>
      <c r="S146" s="199">
        <f t="shared" si="90"/>
        <v>-2864.6200000000003</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original'!$A$8:$A$496=$A147)*('Budget original'!$C$3:$AO$3=F$2),'Budget original'!$C$8:$AO$496)</f>
        <v>494.40999999999997</v>
      </c>
      <c r="G147" s="302"/>
      <c r="H147" s="178"/>
      <c r="I147" s="179">
        <f>+SUMPRODUCT(('Budget révisé'!$A$8:$A$496=$A147)*('Budget révisé'!$C$3:$AO$3=I$2),'Budget révisé'!$C$8:$AO$496)</f>
        <v>494.40999999999997</v>
      </c>
      <c r="J147" s="303"/>
      <c r="K147" s="178"/>
      <c r="L147" s="281">
        <f>SUMIFS(BV_Data_An_Cour!$P:$P,BV_Data_An_Cour!$U:$U,$B147,BV_Data_An_Cour!$V:$V,$C147,BV_Data_An_Cour!$W:$W,$L$2)</f>
        <v>194.34</v>
      </c>
      <c r="M147" s="303"/>
      <c r="N147" s="304">
        <f t="shared" si="89"/>
        <v>-300.06999999999994</v>
      </c>
      <c r="O147" s="303"/>
      <c r="P147" s="178"/>
      <c r="Q147" s="180">
        <f>SUMIFS(BV_Data_An_Prec!$P:$P,BV_Data_An_Prec!$U:$U,$B147,BV_Data_An_Prec!$V:$V,$C147,BV_Data_An_Prec!$W:$W,$L$2)</f>
        <v>420</v>
      </c>
      <c r="R147" s="303"/>
      <c r="S147" s="199">
        <f t="shared" si="90"/>
        <v>-225.66</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original'!$A$8:$A$496=$A148)*('Budget original'!$C$3:$AO$3=F$2),'Budget original'!$C$8:$AO$496)</f>
        <v>6885.3542725369707</v>
      </c>
      <c r="G148" s="302"/>
      <c r="H148" s="178"/>
      <c r="I148" s="179">
        <f>+SUMPRODUCT(('Budget révisé'!$A$8:$A$496=$A148)*('Budget révisé'!$C$3:$AO$3=I$2),'Budget révisé'!$C$8:$AO$496)</f>
        <v>6885.3542725369707</v>
      </c>
      <c r="J148" s="303"/>
      <c r="K148" s="178"/>
      <c r="L148" s="281">
        <f>AF447*W4</f>
        <v>4509.1779999999999</v>
      </c>
      <c r="M148" s="303"/>
      <c r="N148" s="304">
        <f t="shared" ref="N148:N151" si="95">L148-I148</f>
        <v>-2376.1762725369708</v>
      </c>
      <c r="O148" s="303"/>
      <c r="P148" s="178"/>
      <c r="Q148" s="180">
        <f>AL447*W4</f>
        <v>4885.8190000000004</v>
      </c>
      <c r="R148" s="303"/>
      <c r="S148" s="199">
        <f t="shared" ref="S148:S151" si="96">L148-Q148</f>
        <v>-376.64100000000053</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original'!$A$8:$A$496=$A149)*('Budget original'!$C$3:$AO$3=F$2),'Budget original'!$C$8:$AO$496)</f>
        <v>0</v>
      </c>
      <c r="G149" s="302"/>
      <c r="H149" s="178"/>
      <c r="I149" s="179">
        <f>+SUMPRODUCT(('Budget révisé'!$A$8:$A$496=$A149)*('Budget révisé'!$C$3:$AO$3=I$2),'Budget révisé'!$C$8:$AO$496)</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original'!$A$8:$A$496=$A150)*('Budget original'!$C$3:$AO$3=F$2),'Budget original'!$C$8:$AO$496)</f>
        <v>0</v>
      </c>
      <c r="G150" s="302"/>
      <c r="H150" s="178"/>
      <c r="I150" s="179">
        <f>+SUMPRODUCT(('Budget révisé'!$A$8:$A$496=$A150)*('Budget révisé'!$C$3:$AO$3=I$2),'Budget révisé'!$C$8:$AO$496)</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original'!$A$8:$A$496=$A151)*('Budget original'!$C$3:$AO$3=F$2),'Budget original'!$C$8:$AO$496)</f>
        <v>0</v>
      </c>
      <c r="G151" s="302"/>
      <c r="H151" s="178"/>
      <c r="I151" s="179">
        <f>+SUMPRODUCT(('Budget révisé'!$A$8:$A$496=$A151)*('Budget révisé'!$C$3:$AO$3=I$2),'Budget révisé'!$C$8:$AO$496)</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0.10925085256558631</v>
      </c>
      <c r="F152" s="41">
        <f>+SUM(F135:F151)</f>
        <v>59790.83680166593</v>
      </c>
      <c r="G152" s="42" t="s">
        <v>111</v>
      </c>
      <c r="H152" s="40">
        <f>I152/I$107</f>
        <v>0.10925085256558631</v>
      </c>
      <c r="I152" s="41">
        <f>+SUM(I135:I151)</f>
        <v>59790.83680166593</v>
      </c>
      <c r="J152" s="42" t="s">
        <v>111</v>
      </c>
      <c r="K152" s="40">
        <f>L152/L$107</f>
        <v>3.7018528597872191E-2</v>
      </c>
      <c r="L152" s="41">
        <f>+SUM(L135:L151)</f>
        <v>29689.768000000004</v>
      </c>
      <c r="M152" s="44"/>
      <c r="N152" s="41">
        <f t="shared" si="89"/>
        <v>-30101.068801665926</v>
      </c>
      <c r="O152" s="42" t="s">
        <v>111</v>
      </c>
      <c r="P152" s="40">
        <f>Q152/Q$107</f>
        <v>0.1192236744805923</v>
      </c>
      <c r="Q152" s="41">
        <f>+SUM(Q135:Q151)</f>
        <v>54280.449000000001</v>
      </c>
      <c r="R152" s="44"/>
      <c r="S152" s="316">
        <f t="shared" si="90"/>
        <v>-24590.680999999997</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0.99209001359116722</v>
      </c>
      <c r="F154" s="41">
        <f>F121+F134+F152</f>
        <v>542951.29696660116</v>
      </c>
      <c r="G154" s="42" t="s">
        <v>111</v>
      </c>
      <c r="H154" s="40">
        <f>I154/I$107</f>
        <v>0.99209001359116722</v>
      </c>
      <c r="I154" s="41">
        <f>I121+I134+I152</f>
        <v>542951.29696660116</v>
      </c>
      <c r="J154" s="42" t="s">
        <v>111</v>
      </c>
      <c r="K154" s="40">
        <f>L154/L$107</f>
        <v>0.75130127004968295</v>
      </c>
      <c r="L154" s="41">
        <f>L121+L134+L152</f>
        <v>602562.04800000007</v>
      </c>
      <c r="M154" s="44"/>
      <c r="N154" s="46">
        <f>L154-I154</f>
        <v>59610.751033398905</v>
      </c>
      <c r="O154" s="42" t="s">
        <v>111</v>
      </c>
      <c r="P154" s="40">
        <f>Q154/Q$107</f>
        <v>1.2354804018700749</v>
      </c>
      <c r="Q154" s="41">
        <f>Q121+Q134+Q152</f>
        <v>562492.56900000002</v>
      </c>
      <c r="R154" s="44"/>
      <c r="S154" s="299">
        <f>L154-Q154</f>
        <v>40069.47900000005</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3" t="s">
        <v>144</v>
      </c>
      <c r="C155" s="264" t="s">
        <v>152</v>
      </c>
      <c r="D155" s="414"/>
      <c r="E155" s="415"/>
      <c r="F155" s="179">
        <f>+SUMPRODUCT(('Budget original'!$A$8:$A$496=$A155)*('Budget original'!$C$3:$AO$3=F$2),'Budget original'!$C$8:$AO$496)</f>
        <v>17000</v>
      </c>
      <c r="G155" s="416"/>
      <c r="H155" s="415"/>
      <c r="I155" s="179">
        <f>+SUMPRODUCT(('Budget révisé'!$A$8:$A$496=$A155)*('Budget révisé'!$C$3:$AO$3=I$2),'Budget révisé'!$C$8:$AO$496)</f>
        <v>17000</v>
      </c>
      <c r="J155" s="416"/>
      <c r="K155" s="985"/>
      <c r="L155" s="984">
        <f>8500*2</f>
        <v>17000</v>
      </c>
      <c r="M155" s="303"/>
      <c r="N155" s="304">
        <f t="shared" ref="N155:N157" si="97">L155-I155</f>
        <v>0</v>
      </c>
      <c r="O155" s="416"/>
      <c r="P155" s="415"/>
      <c r="Q155" s="180">
        <f>-SUMIFS(BV_Data_An_Prec!$P:$P,BV_Data_An_Prec!$U:$U,$B155,BV_Data_An_Prec!$V:$V,$C155,BV_Data_An_Prec!$W:$W,$L$2)</f>
        <v>0</v>
      </c>
      <c r="R155" s="303"/>
      <c r="S155" s="199">
        <f t="shared" ref="S155:S157" si="98">L155-Q155</f>
        <v>17000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original'!$A$8:$A$496=$A156)*('Budget original'!$C$3:$AO$3=F$2),'Budget original'!$C$8:$AO$496)</f>
        <v>0</v>
      </c>
      <c r="G156" s="416"/>
      <c r="H156" s="415"/>
      <c r="I156" s="179">
        <f>+SUMPRODUCT(('Budget révisé'!$A$8:$A$496=$A156)*('Budget révisé'!$C$3:$AO$3=I$2),'Budget révisé'!$C$8:$AO$496)</f>
        <v>0</v>
      </c>
      <c r="J156" s="416"/>
      <c r="K156" s="985"/>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original'!$A$8:$A$496=$A157)*('Budget original'!$C$3:$AO$3=F$2),'Budget original'!$C$8:$AO$496)</f>
        <v>0</v>
      </c>
      <c r="G157" s="302"/>
      <c r="H157" s="178"/>
      <c r="I157" s="179">
        <f>+SUMPRODUCT(('Budget révisé'!$A$8:$A$496=$A157)*('Budget révisé'!$C$3:$AO$3=I$2),'Budget révisé'!$C$8:$AO$496)</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original'!$A$8:$A$496=$A158)*('Budget original'!$C$3:$AO$3=F$2),'Budget original'!$C$8:$AO$496)</f>
        <v>66963.428879851825</v>
      </c>
      <c r="G158" s="302"/>
      <c r="H158" s="178"/>
      <c r="I158" s="179">
        <f>+SUMPRODUCT(('Budget révisé'!$A$8:$A$496=$A158)*('Budget révisé'!$C$3:$AO$3=I$2),'Budget révisé'!$C$8:$AO$496)</f>
        <v>66963.428879851825</v>
      </c>
      <c r="J158" s="303"/>
      <c r="K158" s="233"/>
      <c r="L158" s="984">
        <f>349*J96</f>
        <v>85505</v>
      </c>
      <c r="M158" s="303"/>
      <c r="N158" s="304">
        <f t="shared" ref="N158" si="100">L158-I158</f>
        <v>18541.571120148175</v>
      </c>
      <c r="O158" s="303"/>
      <c r="P158" s="178"/>
      <c r="Q158" s="180">
        <f>349*O96</f>
        <v>82364</v>
      </c>
      <c r="R158" s="303"/>
      <c r="S158" s="199">
        <f t="shared" ref="S158" si="101">L158-Q158</f>
        <v>3141</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original'!$A$8:$A$496=$A159)*('Budget original'!$C$3:$AO$3=F$2),'Budget original'!$C$8:$AO$496)</f>
        <v>0</v>
      </c>
      <c r="G159" s="302"/>
      <c r="H159" s="178"/>
      <c r="I159" s="179">
        <f>+SUMPRODUCT(('Budget révisé'!$A$8:$A$496=$A159)*('Budget révisé'!$C$3:$AO$3=I$2),'Budget révisé'!$C$8:$AO$496)</f>
        <v>0</v>
      </c>
      <c r="J159" s="303"/>
      <c r="K159" s="233"/>
      <c r="L159" s="984">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original'!$A$8:$A$496=$A160)*('Budget original'!$C$3:$AO$3=F$2),'Budget original'!$C$8:$AO$496)</f>
        <v>0</v>
      </c>
      <c r="G160" s="302"/>
      <c r="H160" s="178"/>
      <c r="I160" s="179">
        <f>+SUMPRODUCT(('Budget révisé'!$A$8:$A$496=$A160)*('Budget révisé'!$C$3:$AO$3=I$2),'Budget révisé'!$C$8:$AO$496)</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original'!$A$8:$A$496=$A161)*('Budget original'!$C$3:$AO$3=F$2),'Budget original'!$C$8:$AO$496)</f>
        <v>0</v>
      </c>
      <c r="G161" s="302"/>
      <c r="H161" s="178"/>
      <c r="I161" s="179">
        <f>+SUMPRODUCT(('Budget révisé'!$A$8:$A$496=$A161)*('Budget révisé'!$C$3:$AO$3=I$2),'Budget révisé'!$C$8:$AO$496)</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83963.428879851825</v>
      </c>
      <c r="G162" s="42"/>
      <c r="H162" s="40"/>
      <c r="I162" s="41">
        <f>+SUM(I155:I161)</f>
        <v>83963.428879851825</v>
      </c>
      <c r="J162" s="42"/>
      <c r="K162" s="40"/>
      <c r="L162" s="41">
        <f>+SUM(L155:L161)</f>
        <v>102505</v>
      </c>
      <c r="M162" s="44"/>
      <c r="N162" s="41">
        <f>SUM(N157:N157)</f>
        <v>0</v>
      </c>
      <c r="O162" s="42"/>
      <c r="P162" s="40"/>
      <c r="Q162" s="41">
        <f>+SUM(Q155:Q161)</f>
        <v>82364</v>
      </c>
      <c r="R162" s="44"/>
      <c r="S162" s="316">
        <f>+SUM(S155:S161)</f>
        <v>20141</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88292.408428912982</v>
      </c>
      <c r="G164" s="344"/>
      <c r="H164" s="342"/>
      <c r="I164" s="343">
        <f>I107-I154+I162</f>
        <v>88292.408428912982</v>
      </c>
      <c r="J164" s="345"/>
      <c r="K164" s="346"/>
      <c r="L164" s="343">
        <f>L107-L154+L162</f>
        <v>301967.48199999996</v>
      </c>
      <c r="M164" s="345"/>
      <c r="N164" s="343">
        <f>L164-I164</f>
        <v>213675.07357108698</v>
      </c>
      <c r="O164" s="345"/>
      <c r="P164" s="346"/>
      <c r="Q164" s="343">
        <f>Q107-Q154+Q162</f>
        <v>-24846.099000000278</v>
      </c>
      <c r="R164" s="345"/>
      <c r="S164" s="347">
        <f>L164-Q164</f>
        <v>326813.58100000024</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AAD, Juillet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61" t="s">
        <v>77</v>
      </c>
      <c r="E169" s="1162"/>
      <c r="F169" s="1163"/>
      <c r="G169" s="1164" t="s">
        <v>145</v>
      </c>
      <c r="H169" s="1162"/>
      <c r="I169" s="1163"/>
      <c r="J169" s="1164" t="s">
        <v>79</v>
      </c>
      <c r="K169" s="1162"/>
      <c r="L169" s="1163"/>
      <c r="M169" s="1164" t="s">
        <v>80</v>
      </c>
      <c r="N169" s="1163"/>
      <c r="O169" s="1161" t="s">
        <v>81</v>
      </c>
      <c r="P169" s="1162"/>
      <c r="Q169" s="1163"/>
      <c r="R169" s="1164" t="s">
        <v>82</v>
      </c>
      <c r="S169" s="1165"/>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original'!$A$8:$A$496=$A171)*('Budget original'!$C$3:$AO$3=D$2),'Budget original'!$C$8:$AO$496)</f>
        <v>3134.8092905698804</v>
      </c>
      <c r="E171" s="197">
        <f>+SUMPRODUCT(('Budget original'!$A$8:$A$496=$A171)*('Budget original'!$C$3:$AO$3=E$2),'Budget original'!$C$8:$AO$496)</f>
        <v>769402.84556308819</v>
      </c>
      <c r="F171" s="197">
        <f>+SUMPRODUCT(('Budget original'!$A$8:$A$496=$A171)*('Budget original'!$C$3:$AO$3=F$2),'Budget original'!$C$8:$AO$496)</f>
        <v>577441.40071169578</v>
      </c>
      <c r="G171" s="348">
        <f>+SUMPRODUCT(('Budget révisé'!$A$8:$A$496=$A171)*('Budget révisé'!$C$3:$AO$3=G$2),'Budget révisé'!$C$8:$AO$496)</f>
        <v>3134.8092905698804</v>
      </c>
      <c r="H171" s="197">
        <f>+SUMPRODUCT(('Budget révisé'!$A$8:$A$496=$A171)*('Budget révisé'!$C$3:$AO$3=H$2),'Budget révisé'!$C$8:$AO$496)</f>
        <v>769402.84556308819</v>
      </c>
      <c r="I171" s="197">
        <f>+SUMPRODUCT(('Budget révisé'!$A$8:$A$496=$A171)*('Budget révisé'!$C$3:$AO$3=I$2),'Budget révisé'!$C$8:$AO$496)</f>
        <v>577441.40071169578</v>
      </c>
      <c r="J171" s="325">
        <f>-SUMIFS(BV_Data_An_Cour!$P:$P,BV_Data_An_Cour!$U:$U,$B171,BV_Data_An_Cour!$V:$V,$C171,BV_Data_An_Cour!$W:$W,J$2)</f>
        <v>2930</v>
      </c>
      <c r="K171" s="179">
        <f>-SUMIFS(BV_Data_An_Cour!$P:$P,BV_Data_An_Cour!$X:$X,"Oui",BV_Data_An_Cour!$U:$U,$B171,BV_Data_An_Cour!$V:$V,$C171)</f>
        <v>647137.62</v>
      </c>
      <c r="L171" s="180">
        <f>-SUMIFS(BV_Data_An_Cour!$P:$P,BV_Data_An_Cour!$U:$U,$B171,BV_Data_An_Cour!$V:$V,$C171,BV_Data_An_Cour!$W:$W,$L$2)</f>
        <v>492546.20999999996</v>
      </c>
      <c r="M171" s="324">
        <f>(K171-H171)/H171</f>
        <v>-0.15890924535586853</v>
      </c>
      <c r="N171" s="304">
        <f>L171-I171</f>
        <v>-84895.190711695817</v>
      </c>
      <c r="O171" s="325">
        <f>-SUMIFS(BV_Data_An_Prec!$P:$P,BV_Data_An_Prec!$U:$U,$B171,BV_Data_An_Prec!$V:$V,$C171,BV_Data_An_Prec!$W:$W,O$2)</f>
        <v>3100</v>
      </c>
      <c r="P171" s="179">
        <f>-SUMIFS(BV_Data_An_Prec!$P:$P,BV_Data_An_Prec!$X:$X,"Oui",BV_Data_An_Prec!$U:$U,$B171,BV_Data_An_Prec!$V:$V,$C171)</f>
        <v>724216.94</v>
      </c>
      <c r="Q171" s="180">
        <f>-SUMIFS(BV_Data_An_Prec!$P:$P,BV_Data_An_Prec!$U:$U,$B171,BV_Data_An_Prec!$V:$V,$C171,BV_Data_An_Prec!$W:$W,$L$2)</f>
        <v>543103.05999999994</v>
      </c>
      <c r="R171" s="324">
        <f>IF(O171=0,0,J171/O171)</f>
        <v>0.94516129032258067</v>
      </c>
      <c r="S171" s="199">
        <f>L171-Q171</f>
        <v>-50556.849999999977</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0.75050593332429738</v>
      </c>
      <c r="G172" s="303"/>
      <c r="H172" s="349"/>
      <c r="I172" s="350">
        <f>I171/H171</f>
        <v>0.75050593332429738</v>
      </c>
      <c r="J172" s="325"/>
      <c r="K172" s="178"/>
      <c r="L172" s="350">
        <f>IF(L171=0,0,L171/K171)</f>
        <v>0.76111509326254279</v>
      </c>
      <c r="M172" s="324"/>
      <c r="N172" s="304"/>
      <c r="O172" s="325"/>
      <c r="P172" s="178"/>
      <c r="Q172" s="350">
        <f>IF(Q171=0,0,Q171/P171)</f>
        <v>0.74991764208111455</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245.43848580441639</v>
      </c>
      <c r="F173" s="359"/>
      <c r="G173" s="310"/>
      <c r="H173" s="358">
        <f t="shared" ref="H173" si="106">IFERROR(H171/G171,0)</f>
        <v>245.43848580441639</v>
      </c>
      <c r="I173" s="359"/>
      <c r="J173" s="339"/>
      <c r="K173" s="573">
        <f t="shared" ref="K173" si="107">IFERROR(K171/J171,0)</f>
        <v>220.8660819112628</v>
      </c>
      <c r="L173" s="359"/>
      <c r="M173" s="361"/>
      <c r="N173" s="311"/>
      <c r="O173" s="339"/>
      <c r="P173" s="573">
        <f t="shared" ref="P173" si="108">IFERROR(P171/O171,0)</f>
        <v>233.61836774193546</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original'!$A$8:$A$496=$A174)*('Budget original'!$C$3:$AO$3=D$2),'Budget original'!$C$8:$AO$496)</f>
        <v>2234.0083585520092</v>
      </c>
      <c r="E174" s="197">
        <f>+SUMPRODUCT(('Budget original'!$A$8:$A$496=$A174)*('Budget original'!$C$3:$AO$3=E$2),'Budget original'!$C$8:$AO$496)</f>
        <v>394825.23884637438</v>
      </c>
      <c r="F174" s="197">
        <f>+SUMPRODUCT(('Budget original'!$A$8:$A$496=$A174)*('Budget original'!$C$3:$AO$3=F$2),'Budget original'!$C$8:$AO$496)</f>
        <v>275652.89919424843</v>
      </c>
      <c r="G174" s="354">
        <f>+SUMPRODUCT(('Budget révisé'!$A$8:$A$496=$A174)*('Budget révisé'!$C$3:$AO$3=G$2),'Budget révisé'!$C$8:$AO$496)</f>
        <v>2234.0083585520092</v>
      </c>
      <c r="H174" s="197">
        <f>+SUMPRODUCT(('Budget révisé'!$A$8:$A$496=$A174)*('Budget révisé'!$C$3:$AO$3=H$2),'Budget révisé'!$C$8:$AO$496)</f>
        <v>394825.23884637438</v>
      </c>
      <c r="I174" s="197">
        <f>+SUMPRODUCT(('Budget révisé'!$A$8:$A$496=$A174)*('Budget révisé'!$C$3:$AO$3=I$2),'Budget révisé'!$C$8:$AO$496)</f>
        <v>275652.89919424843</v>
      </c>
      <c r="J174" s="354">
        <f>-SUMIFS(BV_Data_An_Cour!$P:$P,BV_Data_An_Cour!$U:$U,$B174,BV_Data_An_Cour!$V:$V,$C174,BV_Data_An_Cour!$W:$W,J$2)</f>
        <v>1638</v>
      </c>
      <c r="K174" s="186">
        <f>-SUMIFS(BV_Data_An_Cour!$P:$P,BV_Data_An_Cour!$X:$X,"Oui",BV_Data_An_Cour!$U:$U,$B174,BV_Data_An_Cour!$V:$V,$C174)</f>
        <v>389497.9</v>
      </c>
      <c r="L174" s="180">
        <f>-SUMIFS(BV_Data_An_Cour!$P:$P,BV_Data_An_Cour!$U:$U,$B174,BV_Data_An_Cour!$V:$V,$C174,BV_Data_An_Cour!$W:$W,$L$2)</f>
        <v>275651.80000000005</v>
      </c>
      <c r="M174" s="324">
        <f>(K174-H174)/H174</f>
        <v>-1.3492903498115065E-2</v>
      </c>
      <c r="N174" s="356">
        <f>L174-I174</f>
        <v>-1.0991942483815365</v>
      </c>
      <c r="O174" s="354">
        <f>-SUMIFS(BV_Data_An_Prec!$P:$P,BV_Data_An_Prec!$U:$U,$B174,BV_Data_An_Prec!$V:$V,$C174,BV_Data_An_Prec!$W:$W,O$2)</f>
        <v>2351</v>
      </c>
      <c r="P174" s="186">
        <f>-SUMIFS(BV_Data_An_Prec!$P:$P,BV_Data_An_Prec!$X:$X,"Oui",BV_Data_An_Prec!$U:$U,$B174,BV_Data_An_Prec!$V:$V,$C174)</f>
        <v>502846.51</v>
      </c>
      <c r="Q174" s="180">
        <f>-SUMIFS(BV_Data_An_Prec!$P:$P,BV_Data_An_Prec!$U:$U,$B174,BV_Data_An_Prec!$V:$V,$C174,BV_Data_An_Prec!$W:$W,$L$2)</f>
        <v>349715.96</v>
      </c>
      <c r="R174" s="324">
        <f>IF(O174=0,0,J174/O174)</f>
        <v>0.69672479795831566</v>
      </c>
      <c r="S174" s="199">
        <f>L174-Q174</f>
        <v>-74064.159999999974</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0.7077106192356879</v>
      </c>
      <c r="M175" s="362"/>
      <c r="N175" s="332"/>
      <c r="O175" s="303"/>
      <c r="P175" s="178"/>
      <c r="Q175" s="350">
        <f>IF(Q174=0,0,Q174/P174)</f>
        <v>0.69547258068868767</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original'!$A$8:$A$496=$A177)*('Budget original'!$C$3:$AO$3=D$2),'Budget original'!$C$8:$AO$496)</f>
        <v>1656.4624073557754</v>
      </c>
      <c r="E177" s="197">
        <f>+SUMPRODUCT(('Budget original'!$A$8:$A$496=$A177)*('Budget original'!$C$3:$AO$3=E$2),'Budget original'!$C$8:$AO$496)</f>
        <v>390630.56706513162</v>
      </c>
      <c r="F177" s="197">
        <f>+SUMPRODUCT(('Budget original'!$A$8:$A$496=$A177)*('Budget original'!$C$3:$AO$3=F$2),'Budget original'!$C$8:$AO$496)</f>
        <v>286420.71593713347</v>
      </c>
      <c r="G177" s="303">
        <f>+SUMPRODUCT(('Budget révisé'!$A$8:$A$496=$A177)*('Budget révisé'!$C$3:$AO$3=G$2),'Budget révisé'!$C$8:$AO$496)</f>
        <v>1656.4624073557754</v>
      </c>
      <c r="H177" s="197">
        <f>+SUMPRODUCT(('Budget révisé'!$A$8:$A$496=$A177)*('Budget révisé'!$C$3:$AO$3=H$2),'Budget révisé'!$C$8:$AO$496)</f>
        <v>390630.56706513162</v>
      </c>
      <c r="I177" s="197">
        <f>+SUMPRODUCT(('Budget révisé'!$A$8:$A$496=$A177)*('Budget révisé'!$C$3:$AO$3=I$2),'Budget révisé'!$C$8:$AO$496)</f>
        <v>286420.71593713347</v>
      </c>
      <c r="J177" s="325">
        <f>-SUMIFS(BV_Data_An_Cour!$P:$P,BV_Data_An_Cour!$U:$U,$B177,BV_Data_An_Cour!$V:$V,$C177,BV_Data_An_Cour!$W:$W,J$2)</f>
        <v>1978</v>
      </c>
      <c r="K177" s="186">
        <f>-SUMIFS(BV_Data_An_Cour!$P:$P,BV_Data_An_Cour!$X:$X,"Oui",BV_Data_An_Cour!$U:$U,$B177,BV_Data_An_Cour!$V:$V,$C177)</f>
        <v>401976.32999999996</v>
      </c>
      <c r="L177" s="180">
        <f>-SUMIFS(BV_Data_An_Cour!$P:$P,BV_Data_An_Cour!$U:$U,$B177,BV_Data_An_Cour!$V:$V,$C177,BV_Data_An_Cour!$W:$W,$L$2)</f>
        <v>297094.58999999997</v>
      </c>
      <c r="M177" s="324">
        <f>(K177-H177)/H177</f>
        <v>2.9044739176738849E-2</v>
      </c>
      <c r="N177" s="304">
        <f t="shared" ref="N177:N178" si="109">L177-I177</f>
        <v>10673.874062866496</v>
      </c>
      <c r="O177" s="325">
        <f>-SUMIFS(BV_Data_An_Prec!$P:$P,BV_Data_An_Prec!$U:$U,$B177,BV_Data_An_Prec!$V:$V,$C177,BV_Data_An_Prec!$W:$W,O$2)</f>
        <v>1628</v>
      </c>
      <c r="P177" s="186">
        <f>-SUMIFS(BV_Data_An_Prec!$P:$P,BV_Data_An_Prec!$X:$X,"Oui",BV_Data_An_Prec!$U:$U,$B177,BV_Data_An_Prec!$V:$V,$C177)</f>
        <v>304323.55</v>
      </c>
      <c r="Q177" s="180">
        <f>-SUMIFS(BV_Data_An_Prec!$P:$P,BV_Data_An_Prec!$U:$U,$B177,BV_Data_An_Prec!$V:$V,$C177,BV_Data_An_Prec!$W:$W,$L$2)</f>
        <v>211855.94</v>
      </c>
      <c r="R177" s="324">
        <f>IF(O177=0,0,J177/O177)</f>
        <v>1.2149877149877151</v>
      </c>
      <c r="S177" s="199">
        <f>L177-Q177</f>
        <v>85238.649999999965</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0.73322658308349242</v>
      </c>
      <c r="G178" s="303"/>
      <c r="H178" s="349"/>
      <c r="I178" s="350">
        <f>I177/H177</f>
        <v>0.73322658308349242</v>
      </c>
      <c r="J178" s="325"/>
      <c r="K178" s="349"/>
      <c r="L178" s="350">
        <f>IF(L177=0,0,L177/K177)</f>
        <v>0.73908478641018494</v>
      </c>
      <c r="M178" s="324"/>
      <c r="N178" s="304">
        <f t="shared" si="109"/>
        <v>5.8582033266925126E-3</v>
      </c>
      <c r="O178" s="325"/>
      <c r="P178" s="349"/>
      <c r="Q178" s="350">
        <f>IF(Q177=0,0,Q177/P177)</f>
        <v>0.69615361676741749</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original'!$A$8:$A$496=$A180)*('Budget original'!$C$3:$AO$3=D$2),'Budget original'!$C$8:$AO$496)</f>
        <v>0</v>
      </c>
      <c r="E180" s="197">
        <f>+SUMPRODUCT(('Budget original'!$A$8:$A$496=$A180)*('Budget original'!$C$3:$AO$3=E$2),'Budget original'!$C$8:$AO$496)</f>
        <v>649.06341278799914</v>
      </c>
      <c r="F180" s="197">
        <f>+SUMPRODUCT(('Budget original'!$A$8:$A$496=$A180)*('Budget original'!$C$3:$AO$3=F$2),'Budget original'!$C$8:$AO$496)</f>
        <v>480.30692546311946</v>
      </c>
      <c r="G180" s="368">
        <f>+SUMPRODUCT(('Budget révisé'!$A$8:$A$496=$A180)*('Budget révisé'!$C$3:$AO$3=G$2),'Budget révisé'!$C$8:$AO$496)</f>
        <v>0</v>
      </c>
      <c r="H180" s="197">
        <f>+SUMPRODUCT(('Budget révisé'!$A$8:$A$496=$A180)*('Budget révisé'!$C$3:$AO$3=H$2),'Budget révisé'!$C$8:$AO$496)</f>
        <v>649.06341278799914</v>
      </c>
      <c r="I180" s="197">
        <f>+SUMPRODUCT(('Budget révisé'!$A$8:$A$496=$A180)*('Budget révisé'!$C$3:$AO$3=I$2),'Budget révisé'!$C$8:$AO$496)</f>
        <v>480.30692546311946</v>
      </c>
      <c r="J180" s="354">
        <f>-SUMIFS(BV_Data_An_Cour!$P:$P,BV_Data_An_Cour!$U:$U,$B180,BV_Data_An_Cour!$V:$V,$C180,BV_Data_An_Cour!$W:$W,J$2)</f>
        <v>0</v>
      </c>
      <c r="K180" s="186">
        <f>-SUMIFS(BV_Data_An_Cour!$P:$P,BV_Data_An_Cour!$X:$X,"Oui",BV_Data_An_Cour!$U:$U,$B180,BV_Data_An_Cour!$V:$V,$C180)</f>
        <v>2917.67</v>
      </c>
      <c r="L180" s="181">
        <f>-SUMIFS(BV_Data_An_Cour!$P:$P,BV_Data_An_Cour!$U:$U,$B180,BV_Data_An_Cour!$V:$V,$C180,BV_Data_An_Cour!$W:$W,$L$2)</f>
        <v>2540.91</v>
      </c>
      <c r="M180" s="355">
        <f>IF(H180=0,0,(K180-H180)/H180)</f>
        <v>3.4952002262265647</v>
      </c>
      <c r="N180" s="356">
        <f>L180-I180</f>
        <v>2060.6030745368803</v>
      </c>
      <c r="O180" s="354">
        <f>-SUMIFS(BV_Data_An_Prec!$P:$P,BV_Data_An_Prec!$U:$U,$B180,BV_Data_An_Prec!$V:$V,$C180,BV_Data_An_Prec!$W:$W,O$2)</f>
        <v>0</v>
      </c>
      <c r="P180" s="186">
        <f>-SUMIFS(BV_Data_An_Prec!$P:$P,BV_Data_An_Prec!$X:$X,"Oui",BV_Data_An_Prec!$U:$U,$B180,BV_Data_An_Prec!$V:$V,$C180)</f>
        <v>661.96</v>
      </c>
      <c r="Q180" s="181">
        <f>-SUMIFS(BV_Data_An_Prec!$P:$P,BV_Data_An_Prec!$U:$U,$B180,BV_Data_An_Prec!$V:$V,$C180,BV_Data_An_Prec!$W:$W,$L$2)</f>
        <v>618.36</v>
      </c>
      <c r="R180" s="324">
        <f>IF(O180=0,0,J180/O180)</f>
        <v>0</v>
      </c>
      <c r="S180" s="201">
        <f>L180-Q180</f>
        <v>1922.5499999999997</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0.7400000000000001</v>
      </c>
      <c r="G181" s="313"/>
      <c r="H181" s="370"/>
      <c r="I181" s="350">
        <f>IFERROR(I180/H180,0)</f>
        <v>0.7400000000000001</v>
      </c>
      <c r="J181" s="371"/>
      <c r="K181" s="370">
        <f>IF(J181&lt;=0,0,L181/J181)</f>
        <v>0</v>
      </c>
      <c r="L181" s="350">
        <f>IF(L180=0,0,L180/K180)</f>
        <v>0.87086956372722057</v>
      </c>
      <c r="M181" s="325">
        <f>J181-G181</f>
        <v>0</v>
      </c>
      <c r="N181" s="372"/>
      <c r="O181" s="371"/>
      <c r="P181" s="370">
        <f>IF(O181&lt;=0,0,Q181/O181)</f>
        <v>0</v>
      </c>
      <c r="Q181" s="350">
        <f>IF(Q180=0,0,Q180/P180)</f>
        <v>0.93413499305093961</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original'!$A$8:$A$496=$A183)*('Budget original'!$C$3:$AO$3=F$2),'Budget original'!$C$8:$AO$496)</f>
        <v>-27008.305487724698</v>
      </c>
      <c r="G183" s="303"/>
      <c r="H183" s="197"/>
      <c r="I183" s="197">
        <f>+SUMPRODUCT(('Budget révisé'!$A$8:$A$496=$A183)*('Budget révisé'!$C$3:$AO$3=I$2),'Budget révisé'!$C$8:$AO$496)</f>
        <v>-27008.305487724698</v>
      </c>
      <c r="J183" s="325"/>
      <c r="K183" s="197"/>
      <c r="L183" s="197">
        <f>-SUMIFS(BV_Data_An_Cour!$P:$P,BV_Data_An_Cour!$U:$U,$B183,BV_Data_An_Cour!$V:$V,$C183,BV_Data_An_Cour!$W:$W,$L$2)</f>
        <v>-21352.39</v>
      </c>
      <c r="M183" s="371"/>
      <c r="N183" s="304">
        <f t="shared" ref="N183:N184" si="110">L183-I183</f>
        <v>5655.9154877246983</v>
      </c>
      <c r="O183" s="325"/>
      <c r="P183" s="197"/>
      <c r="Q183" s="180">
        <f>-SUMIFS(BV_Data_An_Prec!$P:$P,BV_Data_An_Prec!$U:$U,$B183,BV_Data_An_Prec!$V:$V,$C183,BV_Data_An_Prec!$W:$W,$L$2)</f>
        <v>-22406.55</v>
      </c>
      <c r="R183" s="209"/>
      <c r="S183" s="199">
        <f t="shared" ref="S183:S184" si="111">L183-Q183</f>
        <v>1054.1599999999999</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1555507.7148873822</v>
      </c>
      <c r="F184" s="59">
        <f t="shared" si="112"/>
        <v>1112987.0172808159</v>
      </c>
      <c r="G184" s="60"/>
      <c r="H184" s="58">
        <f t="shared" ref="H184:L184" si="113">H171+H174+H177+H180+H183</f>
        <v>1555507.7148873822</v>
      </c>
      <c r="I184" s="59">
        <f t="shared" si="113"/>
        <v>1112987.0172808159</v>
      </c>
      <c r="J184" s="60">
        <f t="shared" si="113"/>
        <v>6546</v>
      </c>
      <c r="K184" s="58">
        <f t="shared" si="113"/>
        <v>1441529.52</v>
      </c>
      <c r="L184" s="59">
        <f t="shared" si="113"/>
        <v>1046481.12</v>
      </c>
      <c r="M184" s="61">
        <f>(K184-H184)/H184</f>
        <v>-7.3273950232792096E-2</v>
      </c>
      <c r="N184" s="59">
        <f t="shared" si="110"/>
        <v>-66505.897280815872</v>
      </c>
      <c r="O184" s="60">
        <f t="shared" ref="O184:Q184" si="114">O171+O174+O177+O180+O183</f>
        <v>7079</v>
      </c>
      <c r="P184" s="58">
        <f t="shared" si="114"/>
        <v>1532048.96</v>
      </c>
      <c r="Q184" s="59">
        <f t="shared" si="114"/>
        <v>1082886.77</v>
      </c>
      <c r="R184" s="381">
        <f>IF(O184=0,0,J184/O184)</f>
        <v>0.92470687950275465</v>
      </c>
      <c r="S184" s="382">
        <f t="shared" si="111"/>
        <v>-36405.650000000023</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0.7155136593850937</v>
      </c>
      <c r="G185" s="64"/>
      <c r="H185" s="62"/>
      <c r="I185" s="332">
        <f>I184/H184</f>
        <v>0.7155136593850937</v>
      </c>
      <c r="J185" s="64"/>
      <c r="K185" s="65">
        <f>IF(J184=0,0,K184/J184)</f>
        <v>220.21532538955088</v>
      </c>
      <c r="L185" s="332">
        <f>IF(L184=0,0,L184/K184)</f>
        <v>0.72595191807102222</v>
      </c>
      <c r="M185" s="64"/>
      <c r="N185" s="63">
        <f>N184/I184</f>
        <v>-5.9754423230649313E-2</v>
      </c>
      <c r="O185" s="64"/>
      <c r="P185" s="65">
        <f>IF(O184=0,0,P184/O184)</f>
        <v>216.42166407684701</v>
      </c>
      <c r="Q185" s="332">
        <f>IF(Q184=0,0,Q184/P184)</f>
        <v>0.70682256133642107</v>
      </c>
      <c r="R185" s="64"/>
      <c r="S185" s="333">
        <f>IF(R184=0,0,S184/R184)</f>
        <v>-39369.93528108771</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original'!$A$8:$A$496=$A187)*('Budget original'!$C$3:$AO$3=E$2),'Budget original'!$C$8:$AO$496)</f>
        <v>186484.41291036329</v>
      </c>
      <c r="F187" s="228">
        <f>+SUMPRODUCT(('Budget original'!$A$8:$A$496=$A187)*('Budget original'!$C$3:$AO$3=F$2),'Budget original'!$C$8:$AO$496)</f>
        <v>44756.259098487186</v>
      </c>
      <c r="G187" s="230"/>
      <c r="H187" s="228">
        <f>+SUMPRODUCT(('Budget révisé'!$A$8:$A$496=$A187)*('Budget révisé'!$C$3:$AO$3=H$2),'Budget révisé'!$C$8:$AO$496)</f>
        <v>186484.41291036329</v>
      </c>
      <c r="I187" s="228">
        <f>+SUMPRODUCT(('Budget révisé'!$A$8:$A$496=$A187)*('Budget révisé'!$C$3:$AO$3=I$2),'Budget révisé'!$C$8:$AO$496)</f>
        <v>44756.259098487186</v>
      </c>
      <c r="J187" s="230"/>
      <c r="K187" s="231">
        <f>-SUMIFS(BV_Data_An_Cour!$P:$P,BV_Data_An_Cour!$X:$X,"Oui",BV_Data_An_Cour!$U:$U,$B187,BV_Data_An_Cour!$V:$V,$C187)</f>
        <v>161755.77000000002</v>
      </c>
      <c r="L187" s="281">
        <f>-SUMIFS(BV_Data_An_Cour!$P:$P,BV_Data_An_Cour!$U:$U,$B187,BV_Data_An_Cour!$V:$V,$C187,BV_Data_An_Cour!$W:$W,$L$2)</f>
        <v>33787.840000000011</v>
      </c>
      <c r="M187" s="511">
        <f>IF(H187=0,0,(K187-H187)/H187)</f>
        <v>-0.13260434223126993</v>
      </c>
      <c r="N187" s="232">
        <f>L187-I187</f>
        <v>-10968.419098487175</v>
      </c>
      <c r="O187" s="230"/>
      <c r="P187" s="231">
        <f>-SUMIFS(BV_Data_An_Prec!$P:$P,BV_Data_An_Prec!$X:$X,"Oui",BV_Data_An_Prec!$U:$U,$B187,BV_Data_An_Prec!$V:$V,$C187)</f>
        <v>257126.06999999998</v>
      </c>
      <c r="Q187" s="281">
        <f>-SUMIFS(BV_Data_An_Prec!$P:$P,BV_Data_An_Prec!$U:$U,$B187,BV_Data_An_Prec!$V:$V,$C187,BV_Data_An_Prec!$W:$W,$L$2)</f>
        <v>64208.569999999978</v>
      </c>
      <c r="R187" s="386">
        <f>IF(O187=0,0,J187/O187)</f>
        <v>0</v>
      </c>
      <c r="S187" s="284">
        <f>L187-Q187</f>
        <v>-30420.729999999967</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0.24</v>
      </c>
      <c r="G188" s="227"/>
      <c r="H188" s="234"/>
      <c r="I188" s="235">
        <f>IFERROR(I187/H187,0)</f>
        <v>0.24</v>
      </c>
      <c r="J188" s="236"/>
      <c r="K188" s="237"/>
      <c r="L188" s="235">
        <f>IF(L187=0,0,L187/K187)</f>
        <v>0.20888182226822577</v>
      </c>
      <c r="M188" s="236"/>
      <c r="N188" s="238"/>
      <c r="O188" s="236"/>
      <c r="P188" s="237"/>
      <c r="Q188" s="235">
        <f>IF(Q187=0,0,Q187/P187)</f>
        <v>0.2497162967566843</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original'!$A$8:$A$496=$A190)*('Budget original'!$C$3:$AO$3=E$2),'Budget original'!$C$8:$AO$496)</f>
        <v>0</v>
      </c>
      <c r="F190" s="228">
        <f>+SUMPRODUCT(('Budget original'!$A$8:$A$496=$A190)*('Budget original'!$C$3:$AO$3=F$2),'Budget original'!$C$8:$AO$496)</f>
        <v>0</v>
      </c>
      <c r="G190" s="227"/>
      <c r="H190" s="228">
        <f>+SUMPRODUCT(('Budget révisé'!$A$8:$A$496=$A190)*('Budget révisé'!$C$3:$AO$3=H$2),'Budget révisé'!$C$8:$AO$496)</f>
        <v>0</v>
      </c>
      <c r="I190" s="228">
        <f>+SUMPRODUCT(('Budget révisé'!$A$8:$A$496=$A190)*('Budget révisé'!$C$3:$AO$3=I$2),'Budget révisé'!$C$8:$AO$496)</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1741992.1277977456</v>
      </c>
      <c r="F193" s="28">
        <f t="shared" si="115"/>
        <v>1157743.2763793031</v>
      </c>
      <c r="G193" s="29"/>
      <c r="H193" s="26">
        <f t="shared" ref="H193:I193" si="116">H184+H187+H190</f>
        <v>1741992.1277977456</v>
      </c>
      <c r="I193" s="28">
        <f t="shared" si="116"/>
        <v>1157743.2763793031</v>
      </c>
      <c r="J193" s="29"/>
      <c r="K193" s="26">
        <f>K184+K187+K190</f>
        <v>1603285.29</v>
      </c>
      <c r="L193" s="28">
        <f t="shared" ref="L193" si="117">L184+L187+L190</f>
        <v>1080268.96</v>
      </c>
      <c r="M193" s="70">
        <f>L194-I194</f>
        <v>9.1758260604763997E-3</v>
      </c>
      <c r="N193" s="28">
        <f>L193-I193</f>
        <v>-77474.316379303113</v>
      </c>
      <c r="O193" s="29"/>
      <c r="P193" s="26">
        <f>P184+P187+P190</f>
        <v>1789175.03</v>
      </c>
      <c r="Q193" s="28">
        <f t="shared" ref="Q193" si="118">Q184+Q187+Q190</f>
        <v>1147095.3400000001</v>
      </c>
      <c r="R193" s="70">
        <f>L194-Q194</f>
        <v>3.2653745834441583E-2</v>
      </c>
      <c r="S193" s="363">
        <f>L193-Q193</f>
        <v>-66826.380000000121</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0.66460878778076948</v>
      </c>
      <c r="G194" s="31"/>
      <c r="H194" s="365"/>
      <c r="I194" s="34">
        <f>I193/H193</f>
        <v>0.66460878778076948</v>
      </c>
      <c r="J194" s="31"/>
      <c r="K194" s="365"/>
      <c r="L194" s="34">
        <f>L193/K193</f>
        <v>0.67378461384124588</v>
      </c>
      <c r="M194" s="33"/>
      <c r="N194" s="34">
        <f>N193/I193</f>
        <v>-6.691839025107045E-2</v>
      </c>
      <c r="O194" s="31"/>
      <c r="P194" s="365"/>
      <c r="Q194" s="34">
        <f>Q193/P193</f>
        <v>0.6411308680068043</v>
      </c>
      <c r="R194" s="33"/>
      <c r="S194" s="272">
        <f>L193/S193</f>
        <v>-16.165307173604166</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original'!$A$8:$A$496=$A197)*('Budget original'!$C$3:$AO$3=F$2),'Budget original'!$C$8:$AO$496)</f>
        <v>86213.423470344816</v>
      </c>
      <c r="G197" s="303"/>
      <c r="H197" s="178"/>
      <c r="I197" s="179">
        <f>+SUMPRODUCT(('Budget révisé'!$A$8:$A$496=$A197)*('Budget révisé'!$C$3:$AO$3=I$2),'Budget révisé'!$C$8:$AO$496)</f>
        <v>86213.423470344816</v>
      </c>
      <c r="J197" s="303"/>
      <c r="K197" s="178"/>
      <c r="L197" s="180">
        <f>SUMIFS(BV_Data_An_Cour!$P:$P,BV_Data_An_Cour!$U:$U,$B197,BV_Data_An_Cour!$V:$V,$C197,BV_Data_An_Cour!$W:$W,$L$2)</f>
        <v>78832.52</v>
      </c>
      <c r="M197" s="303"/>
      <c r="N197" s="304"/>
      <c r="O197" s="303"/>
      <c r="P197" s="178"/>
      <c r="Q197" s="180">
        <f>SUMIFS(BV_Data_An_Prec!$P:$P,BV_Data_An_Prec!$U:$U,$B197,BV_Data_An_Prec!$V:$V,$C197,BV_Data_An_Prec!$W:$W,$L$2)</f>
        <v>90795.91</v>
      </c>
      <c r="R197" s="303"/>
      <c r="S197" s="399">
        <f>L197-Q197</f>
        <v>-11963.39</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original'!$A$8:$A$496=$A198)*('Budget original'!$C$3:$AO$3=F$2),'Budget original'!$C$8:$AO$496)</f>
        <v>62888.16388583908</v>
      </c>
      <c r="G198" s="302"/>
      <c r="H198" s="178"/>
      <c r="I198" s="177">
        <f>+SUMPRODUCT(('Budget révisé'!$A$8:$A$496=$A198)*('Budget révisé'!$C$3:$AO$3=I$2),'Budget révisé'!$C$8:$AO$496)</f>
        <v>62888.16388583908</v>
      </c>
      <c r="J198" s="303"/>
      <c r="K198" s="178"/>
      <c r="L198" s="180">
        <f>SUMIFS(BV_Data_An_Cour!$P:$P,BV_Data_An_Cour!$U:$U,$B198,BV_Data_An_Cour!$V:$V,$C198,BV_Data_An_Cour!$W:$W,$L$2)</f>
        <v>59802.41</v>
      </c>
      <c r="M198" s="303"/>
      <c r="N198" s="304">
        <f t="shared" ref="N198:N228" si="119">L198-I198</f>
        <v>-3085.7538858390762</v>
      </c>
      <c r="O198" s="303"/>
      <c r="P198" s="178"/>
      <c r="Q198" s="180">
        <f>SUMIFS(BV_Data_An_Prec!$P:$P,BV_Data_An_Prec!$U:$U,$B198,BV_Data_An_Prec!$V:$V,$C198,BV_Data_An_Prec!$W:$W,$L$2)</f>
        <v>60958.28</v>
      </c>
      <c r="R198" s="303"/>
      <c r="S198" s="199">
        <f t="shared" ref="S198:S228" si="120">L198-Q198</f>
        <v>-1155.8699999999953</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original'!$A$8:$A$496=$A199)*('Budget original'!$C$3:$AO$3=F$2),'Budget original'!$C$8:$AO$496)</f>
        <v>84950.876647760917</v>
      </c>
      <c r="G199" s="393"/>
      <c r="H199" s="352"/>
      <c r="I199" s="179">
        <f>+SUMPRODUCT(('Budget révisé'!$A$8:$A$496=$A199)*('Budget révisé'!$C$3:$AO$3=I$2),'Budget révisé'!$C$8:$AO$496)</f>
        <v>84950.876647760917</v>
      </c>
      <c r="J199" s="368"/>
      <c r="K199" s="352"/>
      <c r="L199" s="181">
        <f>SUMIFS(BV_Data_An_Cour!$P:$P,BV_Data_An_Cour!$U:$U,$B199,BV_Data_An_Cour!$V:$V,$C199,BV_Data_An_Cour!$W:$W,$L$2)</f>
        <v>77126.52</v>
      </c>
      <c r="M199" s="368"/>
      <c r="N199" s="356">
        <f t="shared" si="119"/>
        <v>-7824.3566477609129</v>
      </c>
      <c r="O199" s="368"/>
      <c r="P199" s="352"/>
      <c r="Q199" s="181">
        <f>SUMIFS(BV_Data_An_Prec!$P:$P,BV_Data_An_Prec!$U:$U,$B199,BV_Data_An_Prec!$V:$V,$C199,BV_Data_An_Prec!$W:$W,$L$2)</f>
        <v>65880.2</v>
      </c>
      <c r="R199" s="368"/>
      <c r="S199" s="201">
        <f t="shared" si="120"/>
        <v>11246.320000000007</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original'!$A$8:$A$496=$A200)*('Budget original'!$C$3:$AO$3=F$2),'Budget original'!$C$8:$AO$496)</f>
        <v>216054.79299310347</v>
      </c>
      <c r="G200" s="302"/>
      <c r="H200" s="178"/>
      <c r="I200" s="179">
        <f>+SUMPRODUCT(('Budget révisé'!$A$8:$A$496=$A200)*('Budget révisé'!$C$3:$AO$3=I$2),'Budget révisé'!$C$8:$AO$496)</f>
        <v>216054.79299310347</v>
      </c>
      <c r="J200" s="303"/>
      <c r="K200" s="178"/>
      <c r="L200" s="180">
        <f>SUMIFS(BV_Data_An_Cour!$P:$P,BV_Data_An_Cour!$U:$U,$B200,BV_Data_An_Cour!$V:$V,$C200,BV_Data_An_Cour!$W:$W,$L$2)</f>
        <v>159285.09</v>
      </c>
      <c r="M200" s="303"/>
      <c r="N200" s="304">
        <f t="shared" si="119"/>
        <v>-56769.702993103478</v>
      </c>
      <c r="O200" s="303"/>
      <c r="P200" s="178"/>
      <c r="Q200" s="180">
        <f>SUMIFS(BV_Data_An_Prec!$P:$P,BV_Data_An_Prec!$U:$U,$B200,BV_Data_An_Prec!$V:$V,$C200,BV_Data_An_Prec!$W:$W,$L$2)</f>
        <v>149348.53</v>
      </c>
      <c r="R200" s="303"/>
      <c r="S200" s="199">
        <f t="shared" si="120"/>
        <v>9936.5599999999977</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original'!$A$8:$A$496=$A201)*('Budget original'!$C$3:$AO$3=F$2),'Budget original'!$C$8:$AO$496)</f>
        <v>0</v>
      </c>
      <c r="G201" s="302"/>
      <c r="H201" s="178"/>
      <c r="I201" s="179">
        <f>+SUMPRODUCT(('Budget révisé'!$A$8:$A$496=$A201)*('Budget révisé'!$C$3:$AO$3=I$2),'Budget révisé'!$C$8:$AO$496)</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original'!$A$8:$A$496=$A202)*('Budget original'!$C$3:$AO$3=F$2),'Budget original'!$C$8:$AO$496)</f>
        <v>0</v>
      </c>
      <c r="G202" s="302"/>
      <c r="H202" s="178"/>
      <c r="I202" s="179">
        <f>+SUMPRODUCT(('Budget révisé'!$A$8:$A$496=$A202)*('Budget révisé'!$C$3:$AO$3=I$2),'Budget révisé'!$C$8:$AO$496)</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original'!$A$8:$A$496=$A203)*('Budget original'!$C$3:$AO$3=F$2),'Budget original'!$C$8:$AO$496)</f>
        <v>0</v>
      </c>
      <c r="G203" s="302"/>
      <c r="H203" s="178"/>
      <c r="I203" s="179">
        <f>+SUMPRODUCT(('Budget révisé'!$A$8:$A$496=$A203)*('Budget révisé'!$C$3:$AO$3=I$2),'Budget révisé'!$C$8:$AO$496)</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original'!$A$8:$A$496=$A204)*('Budget original'!$C$3:$AO$3=F$2),'Budget original'!$C$8:$AO$496)</f>
        <v>117711.61643964576</v>
      </c>
      <c r="G204" s="302"/>
      <c r="H204" s="178"/>
      <c r="I204" s="179">
        <f>+SUMPRODUCT(('Budget révisé'!$A$8:$A$496=$A204)*('Budget révisé'!$C$3:$AO$3=I$2),'Budget révisé'!$C$8:$AO$496)</f>
        <v>117711.61643964576</v>
      </c>
      <c r="J204" s="303"/>
      <c r="K204" s="178"/>
      <c r="L204" s="180">
        <f>SUMIFS(BV_Data_An_Cour!$P:$P,BV_Data_An_Cour!$U:$U,$B204,BV_Data_An_Cour!$V:$V,$C204,BV_Data_An_Cour!$W:$W,$L$2)</f>
        <v>99587.99</v>
      </c>
      <c r="M204" s="303"/>
      <c r="N204" s="304">
        <f t="shared" si="121"/>
        <v>-18123.626439645755</v>
      </c>
      <c r="O204" s="303"/>
      <c r="P204" s="178"/>
      <c r="Q204" s="180">
        <f>SUMIFS(BV_Data_An_Prec!$P:$P,BV_Data_An_Prec!$U:$U,$B204,BV_Data_An_Prec!$V:$V,$C204,BV_Data_An_Prec!$W:$W,$L$2)</f>
        <v>107027.88</v>
      </c>
      <c r="R204" s="303"/>
      <c r="S204" s="199">
        <f t="shared" si="122"/>
        <v>-7439.8899999999994</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original'!$A$8:$A$496=$A205)*('Budget original'!$C$3:$AO$3=F$2),'Budget original'!$C$8:$AO$496)</f>
        <v>117711.61643964576</v>
      </c>
      <c r="G205" s="393"/>
      <c r="H205" s="352"/>
      <c r="I205" s="429">
        <f>+SUMPRODUCT(('Budget révisé'!$A$8:$A$496=$A205)*('Budget révisé'!$C$3:$AO$3=I$2),'Budget révisé'!$C$8:$AO$496)</f>
        <v>117711.61643964576</v>
      </c>
      <c r="J205" s="368"/>
      <c r="K205" s="352"/>
      <c r="L205" s="181">
        <f>SUMIFS(BV_Data_An_Cour!$P:$P,BV_Data_An_Cour!$U:$U,$B205,BV_Data_An_Cour!$V:$V,$C205,BV_Data_An_Cour!$W:$W,$L$2)</f>
        <v>105788.29</v>
      </c>
      <c r="M205" s="368"/>
      <c r="N205" s="356">
        <f t="shared" si="119"/>
        <v>-11923.326439645767</v>
      </c>
      <c r="O205" s="368"/>
      <c r="P205" s="352"/>
      <c r="Q205" s="181">
        <f>SUMIFS(BV_Data_An_Prec!$P:$P,BV_Data_An_Prec!$U:$U,$B205,BV_Data_An_Prec!$V:$V,$C205,BV_Data_An_Prec!$W:$W,$L$2)</f>
        <v>87765.72</v>
      </c>
      <c r="R205" s="368"/>
      <c r="S205" s="201">
        <f t="shared" si="120"/>
        <v>18022.569999999992</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original'!$A$8:$A$496=$A206)*('Budget original'!$C$3:$AO$3=F$2),'Budget original'!$C$8:$AO$496)</f>
        <v>84359.991781746154</v>
      </c>
      <c r="G206" s="302"/>
      <c r="H206" s="178"/>
      <c r="I206" s="179">
        <f>+SUMPRODUCT(('Budget révisé'!$A$8:$A$496=$A206)*('Budget révisé'!$C$3:$AO$3=I$2),'Budget révisé'!$C$8:$AO$496)</f>
        <v>84359.991781746154</v>
      </c>
      <c r="J206" s="303"/>
      <c r="K206" s="178"/>
      <c r="L206" s="180">
        <f>SUMIFS(BV_Data_An_Cour!$P:$P,BV_Data_An_Cour!$U:$U,$B206,BV_Data_An_Cour!$V:$V,$C206,BV_Data_An_Cour!$W:$W,$L$2)</f>
        <v>75814.929999999993</v>
      </c>
      <c r="M206" s="303"/>
      <c r="N206" s="304">
        <f t="shared" si="119"/>
        <v>-8545.0617817461607</v>
      </c>
      <c r="O206" s="303"/>
      <c r="P206" s="178"/>
      <c r="Q206" s="180">
        <f>SUMIFS(BV_Data_An_Prec!$P:$P,BV_Data_An_Prec!$U:$U,$B206,BV_Data_An_Prec!$V:$V,$C206,BV_Data_An_Prec!$W:$W,$L$2)</f>
        <v>60348.63</v>
      </c>
      <c r="R206" s="303"/>
      <c r="S206" s="199">
        <f t="shared" si="120"/>
        <v>15466.299999999996</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original'!$A$8:$A$496=$A207)*('Budget original'!$C$3:$AO$3=F$2),'Budget original'!$C$8:$AO$496)</f>
        <v>19618.602739940965</v>
      </c>
      <c r="G207" s="302"/>
      <c r="H207" s="178"/>
      <c r="I207" s="179">
        <f>+SUMPRODUCT(('Budget révisé'!$A$8:$A$496=$A207)*('Budget révisé'!$C$3:$AO$3=I$2),'Budget révisé'!$C$8:$AO$496)</f>
        <v>19618.602739940965</v>
      </c>
      <c r="J207" s="303"/>
      <c r="K207" s="178"/>
      <c r="L207" s="180">
        <f>SUMIFS(BV_Data_An_Cour!$P:$P,BV_Data_An_Cour!$U:$U,$B207,BV_Data_An_Cour!$V:$V,$C207,BV_Data_An_Cour!$W:$W,$L$2)</f>
        <v>17631.39</v>
      </c>
      <c r="M207" s="303"/>
      <c r="N207" s="304">
        <f t="shared" si="119"/>
        <v>-1987.2127399409655</v>
      </c>
      <c r="O207" s="303"/>
      <c r="P207" s="178"/>
      <c r="Q207" s="180">
        <f>SUMIFS(BV_Data_An_Prec!$P:$P,BV_Data_An_Prec!$U:$U,$B207,BV_Data_An_Prec!$V:$V,$C207,BV_Data_An_Prec!$W:$W,$L$2)</f>
        <v>21675.279999999999</v>
      </c>
      <c r="R207" s="303"/>
      <c r="S207" s="199">
        <f t="shared" si="120"/>
        <v>-4043.8899999999994</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original'!$A$8:$A$496=$A208)*('Budget original'!$C$3:$AO$3=F$2),'Budget original'!$C$8:$AO$496)</f>
        <v>0</v>
      </c>
      <c r="G208" s="309"/>
      <c r="H208" s="308"/>
      <c r="I208" s="179">
        <f>+SUMPRODUCT(('Budget révisé'!$A$8:$A$496=$A208)*('Budget révisé'!$C$3:$AO$3=I$2),'Budget révisé'!$C$8:$AO$496)</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0.6819379568043078</v>
      </c>
      <c r="F209" s="41">
        <f>+SUM(F197:F208)</f>
        <v>789509.08439802693</v>
      </c>
      <c r="G209" s="42" t="s">
        <v>170</v>
      </c>
      <c r="H209" s="40">
        <f>I209/I$193</f>
        <v>0.6819379568043078</v>
      </c>
      <c r="I209" s="41">
        <f>+SUM(I197:I208)</f>
        <v>789509.08439802693</v>
      </c>
      <c r="J209" s="42" t="s">
        <v>170</v>
      </c>
      <c r="K209" s="40">
        <f>L209/L$193</f>
        <v>0.62379755871167497</v>
      </c>
      <c r="L209" s="41">
        <f>+SUM(L197:L208)</f>
        <v>673869.14</v>
      </c>
      <c r="M209" s="43"/>
      <c r="N209" s="46">
        <f t="shared" si="119"/>
        <v>-115639.94439802691</v>
      </c>
      <c r="O209" s="42" t="s">
        <v>170</v>
      </c>
      <c r="P209" s="40">
        <f>Q209/Q$193</f>
        <v>0.56124404620107693</v>
      </c>
      <c r="Q209" s="41">
        <f>+SUM(Q197:Q208)</f>
        <v>643800.43000000005</v>
      </c>
      <c r="R209" s="43"/>
      <c r="S209" s="299">
        <f t="shared" si="120"/>
        <v>30068.709999999963</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original'!$A$8:$A$496=$A210)*('Budget original'!$C$3:$AO$3=F$2),'Budget original'!$C$8:$AO$496)</f>
        <v>49512.341666666667</v>
      </c>
      <c r="G210" s="302"/>
      <c r="H210" s="178"/>
      <c r="I210" s="179">
        <f>+SUMPRODUCT(('Budget révisé'!$A$8:$A$496=$A210)*('Budget révisé'!$C$3:$AO$3=I$2),'Budget révisé'!$C$8:$AO$496)</f>
        <v>49512.341666666667</v>
      </c>
      <c r="J210" s="303"/>
      <c r="K210" s="178"/>
      <c r="L210" s="180">
        <f>SUMIFS(BV_Data_An_Cour!$P:$P,BV_Data_An_Cour!$U:$U,$B210,BV_Data_An_Cour!$V:$V,$C210,BV_Data_An_Cour!$W:$W,$L$2)</f>
        <v>44309.73</v>
      </c>
      <c r="M210" s="303"/>
      <c r="N210" s="304">
        <f t="shared" si="119"/>
        <v>-5202.611666666664</v>
      </c>
      <c r="O210" s="303"/>
      <c r="P210" s="178"/>
      <c r="Q210" s="180">
        <f>SUMIFS(BV_Data_An_Prec!$P:$P,BV_Data_An_Prec!$U:$U,$B210,BV_Data_An_Prec!$V:$V,$C210,BV_Data_An_Prec!$W:$W,$L$2)</f>
        <v>85953.88</v>
      </c>
      <c r="R210" s="303"/>
      <c r="S210" s="199">
        <f t="shared" si="120"/>
        <v>-41644.15</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original'!$A$8:$A$496=$A211)*('Budget original'!$C$3:$AO$3=F$2),'Budget original'!$C$8:$AO$496)</f>
        <v>17837.064863342617</v>
      </c>
      <c r="G211" s="302"/>
      <c r="H211" s="178"/>
      <c r="I211" s="179">
        <f>+SUMPRODUCT(('Budget révisé'!$A$8:$A$496=$A211)*('Budget révisé'!$C$3:$AO$3=I$2),'Budget révisé'!$C$8:$AO$496)</f>
        <v>17837.064863342617</v>
      </c>
      <c r="J211" s="303"/>
      <c r="K211" s="178"/>
      <c r="L211" s="979">
        <f>SUMIFS(BV_Data_An_Cour!$P:$P,BV_Data_An_Cour!$U:$U,$B211,BV_Data_An_Cour!$V:$V,$C211,BV_Data_An_Cour!$W:$W,$L$2)</f>
        <v>21035.160000000003</v>
      </c>
      <c r="M211" s="303"/>
      <c r="N211" s="304">
        <f t="shared" si="119"/>
        <v>3198.0951366573863</v>
      </c>
      <c r="O211" s="303"/>
      <c r="P211" s="178"/>
      <c r="Q211" s="180">
        <f>SUMIFS(BV_Data_An_Prec!$P:$P,BV_Data_An_Prec!$U:$U,$B211,BV_Data_An_Prec!$V:$V,$C211,BV_Data_An_Prec!$W:$W,$L$2)</f>
        <v>15428.439999999999</v>
      </c>
      <c r="R211" s="303"/>
      <c r="S211" s="199">
        <f t="shared" si="120"/>
        <v>5606.7200000000048</v>
      </c>
      <c r="T211" s="233"/>
      <c r="U211" s="222" t="s">
        <v>2934</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original'!$A$8:$A$496=$A212)*('Budget original'!$C$3:$AO$3=F$2),'Budget original'!$C$8:$AO$496)</f>
        <v>125948.56000000001</v>
      </c>
      <c r="G212" s="309"/>
      <c r="H212" s="308"/>
      <c r="I212" s="177">
        <f>+SUMPRODUCT(('Budget révisé'!$A$8:$A$496=$A212)*('Budget révisé'!$C$3:$AO$3=I$2),'Budget révisé'!$C$8:$AO$496)</f>
        <v>125948.56000000001</v>
      </c>
      <c r="J212" s="310"/>
      <c r="K212" s="308"/>
      <c r="L212" s="180">
        <f>SUMIFS(BV_Data_An_Cour!$P:$P,BV_Data_An_Cour!$U:$U,$B212,BV_Data_An_Cour!$V:$V,$C212,BV_Data_An_Cour!$W:$W,$L$2)</f>
        <v>103792.79</v>
      </c>
      <c r="M212" s="310"/>
      <c r="N212" s="311">
        <f t="shared" si="119"/>
        <v>-22155.770000000019</v>
      </c>
      <c r="O212" s="310"/>
      <c r="P212" s="308"/>
      <c r="Q212" s="180">
        <f>SUMIFS(BV_Data_An_Prec!$P:$P,BV_Data_An_Prec!$U:$U,$B212,BV_Data_An_Prec!$V:$V,$C212,BV_Data_An_Prec!$W:$W,$L$2)</f>
        <v>93674.13</v>
      </c>
      <c r="R212" s="310"/>
      <c r="S212" s="202">
        <f t="shared" si="120"/>
        <v>10118.659999999989</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original'!$A$8:$A$496=$A213)*('Budget original'!$C$3:$AO$3=F$2),'Budget original'!$C$8:$AO$496)</f>
        <v>30978.830400000003</v>
      </c>
      <c r="G213" s="302"/>
      <c r="H213" s="178"/>
      <c r="I213" s="179">
        <f>+SUMPRODUCT(('Budget révisé'!$A$8:$A$496=$A213)*('Budget révisé'!$C$3:$AO$3=I$2),'Budget révisé'!$C$8:$AO$496)</f>
        <v>30978.830400000003</v>
      </c>
      <c r="J213" s="303"/>
      <c r="K213" s="178"/>
      <c r="L213" s="181">
        <f>SUMIFS(BV_Data_An_Cour!$P:$P,BV_Data_An_Cour!$U:$U,$B213,BV_Data_An_Cour!$V:$V,$C213,BV_Data_An_Cour!$W:$W,$L$2)</f>
        <v>27427.85</v>
      </c>
      <c r="M213" s="303"/>
      <c r="N213" s="304">
        <f t="shared" si="119"/>
        <v>-3550.980400000004</v>
      </c>
      <c r="O213" s="303"/>
      <c r="P213" s="178"/>
      <c r="Q213" s="181">
        <f>SUMIFS(BV_Data_An_Prec!$P:$P,BV_Data_An_Prec!$U:$U,$B213,BV_Data_An_Prec!$V:$V,$C213,BV_Data_An_Prec!$W:$W,$L$2)</f>
        <v>27387.51</v>
      </c>
      <c r="R213" s="303"/>
      <c r="S213" s="199">
        <f t="shared" si="120"/>
        <v>40.340000000000146</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original'!$A$8:$A$496=$A214)*('Budget original'!$C$3:$AO$3=F$2),'Budget original'!$C$8:$AO$496)</f>
        <v>8381.6081999999988</v>
      </c>
      <c r="G214" s="302"/>
      <c r="H214" s="178"/>
      <c r="I214" s="179">
        <f>+SUMPRODUCT(('Budget révisé'!$A$8:$A$496=$A214)*('Budget révisé'!$C$3:$AO$3=I$2),'Budget révisé'!$C$8:$AO$496)</f>
        <v>8381.6081999999988</v>
      </c>
      <c r="J214" s="303"/>
      <c r="K214" s="178"/>
      <c r="L214" s="180">
        <f>SUMIFS(BV_Data_An_Cour!$P:$P,BV_Data_An_Cour!$U:$U,$B214,BV_Data_An_Cour!$V:$V,$C214,BV_Data_An_Cour!$W:$W,$L$2)</f>
        <v>2793.17</v>
      </c>
      <c r="M214" s="303"/>
      <c r="N214" s="304">
        <f t="shared" si="119"/>
        <v>-5588.4381999999987</v>
      </c>
      <c r="O214" s="303"/>
      <c r="P214" s="178"/>
      <c r="Q214" s="180">
        <f>SUMIFS(BV_Data_An_Prec!$P:$P,BV_Data_An_Prec!$U:$U,$B214,BV_Data_An_Prec!$V:$V,$C214,BV_Data_An_Prec!$W:$W,$L$2)</f>
        <v>10209.36</v>
      </c>
      <c r="R214" s="303"/>
      <c r="S214" s="199">
        <f t="shared" si="120"/>
        <v>-7416.1900000000005</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original'!$A$8:$A$496=$A215)*('Budget original'!$C$3:$AO$3=F$2),'Budget original'!$C$8:$AO$496)</f>
        <v>25266.646999999997</v>
      </c>
      <c r="G215" s="309"/>
      <c r="H215" s="308"/>
      <c r="I215" s="177">
        <f>+SUMPRODUCT(('Budget révisé'!$A$8:$A$496=$A215)*('Budget révisé'!$C$3:$AO$3=I$2),'Budget révisé'!$C$8:$AO$496)</f>
        <v>25266.646999999997</v>
      </c>
      <c r="J215" s="310"/>
      <c r="K215" s="308"/>
      <c r="L215" s="180">
        <f>SUMIFS(BV_Data_An_Cour!$P:$P,BV_Data_An_Cour!$U:$U,$B215,BV_Data_An_Cour!$V:$V,$C215,BV_Data_An_Cour!$W:$W,$L$2)</f>
        <v>15773.43</v>
      </c>
      <c r="M215" s="310"/>
      <c r="N215" s="311">
        <f t="shared" si="119"/>
        <v>-9493.2169999999969</v>
      </c>
      <c r="O215" s="310"/>
      <c r="P215" s="308"/>
      <c r="Q215" s="180">
        <f>SUMIFS(BV_Data_An_Prec!$P:$P,BV_Data_An_Prec!$U:$U,$B215,BV_Data_An_Prec!$V:$V,$C215,BV_Data_An_Prec!$W:$W,$L$2)</f>
        <v>76860.84</v>
      </c>
      <c r="R215" s="310"/>
      <c r="S215" s="202">
        <f t="shared" si="120"/>
        <v>-61087.409999999996</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1996</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original'!$A$8:$A$496=$A217)*('Budget original'!$C$3:$AO$3=F$2),'Budget original'!$C$8:$AO$496)</f>
        <v>3822</v>
      </c>
      <c r="G217" s="302"/>
      <c r="H217" s="178"/>
      <c r="I217" s="179">
        <f>+SUMPRODUCT(('Budget révisé'!$A$8:$A$496=$A217)*('Budget révisé'!$C$3:$AO$3=I$2),'Budget révisé'!$C$8:$AO$496)</f>
        <v>3822</v>
      </c>
      <c r="J217" s="303"/>
      <c r="K217" s="178"/>
      <c r="L217" s="180">
        <f>SUMIFS(BV_Data_An_Cour!$P:$P,BV_Data_An_Cour!$U:$U,$B217,BV_Data_An_Cour!$V:$V,$C217,BV_Data_An_Cour!$W:$W,$L$2)</f>
        <v>5751.71</v>
      </c>
      <c r="M217" s="303"/>
      <c r="N217" s="304">
        <f t="shared" si="119"/>
        <v>1929.71</v>
      </c>
      <c r="O217" s="303"/>
      <c r="P217" s="178"/>
      <c r="Q217" s="180">
        <f>SUMIFS(BV_Data_An_Prec!$P:$P,BV_Data_An_Prec!$U:$U,$B217,BV_Data_An_Prec!$V:$V,$C217,BV_Data_An_Prec!$W:$W,$L$2)</f>
        <v>4369.59</v>
      </c>
      <c r="R217" s="303"/>
      <c r="S217" s="199">
        <f t="shared" si="120"/>
        <v>1382.12</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original'!$A$8:$A$496=$A218)*('Budget original'!$C$3:$AO$3=F$2),'Budget original'!$C$8:$AO$496)</f>
        <v>9100</v>
      </c>
      <c r="G218" s="302"/>
      <c r="H218" s="178"/>
      <c r="I218" s="179">
        <f>+SUMPRODUCT(('Budget révisé'!$A$8:$A$496=$A218)*('Budget révisé'!$C$3:$AO$3=I$2),'Budget révisé'!$C$8:$AO$496)</f>
        <v>9100</v>
      </c>
      <c r="J218" s="303"/>
      <c r="K218" s="178"/>
      <c r="L218" s="180">
        <f>SUMIFS(BV_Data_An_Cour!$P:$P,BV_Data_An_Cour!$U:$U,$B218,BV_Data_An_Cour!$V:$V,$C218,BV_Data_An_Cour!$W:$W,$L$2)</f>
        <v>4233.59</v>
      </c>
      <c r="M218" s="303"/>
      <c r="N218" s="304">
        <f t="shared" si="119"/>
        <v>-4866.41</v>
      </c>
      <c r="O218" s="303"/>
      <c r="P218" s="178"/>
      <c r="Q218" s="180">
        <f>SUMIFS(BV_Data_An_Prec!$P:$P,BV_Data_An_Prec!$U:$U,$B218,BV_Data_An_Prec!$V:$V,$C218,BV_Data_An_Prec!$W:$W,$L$2)</f>
        <v>9100</v>
      </c>
      <c r="R218" s="303"/>
      <c r="S218" s="199">
        <f t="shared" si="120"/>
        <v>-4866.41</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original'!$A$8:$A$496=$A219)*('Budget original'!$C$3:$AO$3=F$2),'Budget original'!$C$8:$AO$496)</f>
        <v>3662.3999999999992</v>
      </c>
      <c r="G219" s="302"/>
      <c r="H219" s="178"/>
      <c r="I219" s="179">
        <f>+SUMPRODUCT(('Budget révisé'!$A$8:$A$496=$A219)*('Budget révisé'!$C$3:$AO$3=I$2),'Budget révisé'!$C$8:$AO$496)</f>
        <v>3662.3999999999992</v>
      </c>
      <c r="J219" s="303"/>
      <c r="K219" s="178"/>
      <c r="L219" s="554">
        <f>SUMIFS(BV_Data_An_Cour!$P:$P,BV_Data_An_Cour!$U:$U,$B219,BV_Data_An_Cour!$V:$V,$C219,BV_Data_An_Cour!$W:$W,$L$2)</f>
        <v>2649.5</v>
      </c>
      <c r="M219" s="303"/>
      <c r="N219" s="304">
        <f t="shared" si="119"/>
        <v>-1012.8999999999992</v>
      </c>
      <c r="O219" s="303"/>
      <c r="P219" s="178"/>
      <c r="Q219" s="554">
        <f>SUMIFS(BV_Data_An_Prec!$P:$P,BV_Data_An_Prec!$U:$U,$B219,BV_Data_An_Prec!$V:$V,$C219,BV_Data_An_Prec!$W:$W,$L$2)</f>
        <v>3108</v>
      </c>
      <c r="R219" s="303"/>
      <c r="S219" s="199">
        <f t="shared" si="120"/>
        <v>-458.5</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original'!$A$8:$A$496=$A220)*('Budget original'!$C$3:$AO$3=F$2),'Budget original'!$C$8:$AO$496)</f>
        <v>3228.2880000000005</v>
      </c>
      <c r="G220" s="302"/>
      <c r="H220" s="178"/>
      <c r="I220" s="179">
        <f>+SUMPRODUCT(('Budget révisé'!$A$8:$A$496=$A220)*('Budget révisé'!$C$3:$AO$3=I$2),'Budget révisé'!$C$8:$AO$496)</f>
        <v>3228.2880000000005</v>
      </c>
      <c r="J220" s="303"/>
      <c r="K220" s="178"/>
      <c r="L220" s="281">
        <f>SUMIFS(BV_Data_An_Cour!$P:$P,BV_Data_An_Cour!$U:$U,$B220,BV_Data_An_Cour!$V:$V,$C220,BV_Data_An_Cour!$W:$W,$L$2)</f>
        <v>1699.95</v>
      </c>
      <c r="M220" s="303"/>
      <c r="N220" s="304">
        <f t="shared" si="119"/>
        <v>-1528.3380000000004</v>
      </c>
      <c r="O220" s="303"/>
      <c r="P220" s="178"/>
      <c r="Q220" s="180">
        <f>SUMIFS(BV_Data_An_Prec!$P:$P,BV_Data_An_Prec!$U:$U,$B220,BV_Data_An_Prec!$V:$V,$C220,BV_Data_An_Prec!$W:$W,$L$2)</f>
        <v>3612.11</v>
      </c>
      <c r="R220" s="303"/>
      <c r="S220" s="199">
        <f t="shared" si="120"/>
        <v>-1912.16</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original'!$A$8:$A$496=$A221)*('Budget original'!$C$3:$AO$3=F$2),'Budget original'!$C$8:$AO$496)</f>
        <v>1453.1999999999998</v>
      </c>
      <c r="G221" s="302"/>
      <c r="H221" s="178"/>
      <c r="I221" s="179">
        <f>+SUMPRODUCT(('Budget révisé'!$A$8:$A$496=$A221)*('Budget révisé'!$C$3:$AO$3=I$2),'Budget révisé'!$C$8:$AO$496)</f>
        <v>1453.1999999999998</v>
      </c>
      <c r="J221" s="303"/>
      <c r="K221" s="178"/>
      <c r="L221" s="281">
        <f>SUMIFS(BV_Data_An_Cour!$P:$P,BV_Data_An_Cour!$U:$U,$B221,BV_Data_An_Cour!$V:$V,$C221,BV_Data_An_Cour!$W:$W,$L$2)</f>
        <v>783.68</v>
      </c>
      <c r="M221" s="303"/>
      <c r="N221" s="304">
        <f t="shared" si="119"/>
        <v>-669.51999999999987</v>
      </c>
      <c r="O221" s="303"/>
      <c r="P221" s="178"/>
      <c r="Q221" s="180">
        <f>SUMIFS(BV_Data_An_Prec!$P:$P,BV_Data_An_Prec!$U:$U,$B221,BV_Data_An_Prec!$V:$V,$C221,BV_Data_An_Prec!$W:$W,$L$2)</f>
        <v>847.95</v>
      </c>
      <c r="R221" s="303"/>
      <c r="S221" s="199">
        <f t="shared" si="120"/>
        <v>-64.270000000000095</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original'!$A$8:$A$496=$A222)*('Budget original'!$C$3:$AO$3=F$2),'Budget original'!$C$8:$AO$496)</f>
        <v>6732.88</v>
      </c>
      <c r="G222" s="302"/>
      <c r="H222" s="178"/>
      <c r="I222" s="179">
        <f>+SUMPRODUCT(('Budget révisé'!$A$8:$A$496=$A222)*('Budget révisé'!$C$3:$AO$3=I$2),'Budget révisé'!$C$8:$AO$496)</f>
        <v>6732.88</v>
      </c>
      <c r="J222" s="303"/>
      <c r="K222" s="178"/>
      <c r="L222" s="281">
        <f>SUMIFS(BV_Data_An_Cour!$P:$P,BV_Data_An_Cour!$U:$U,$B222,BV_Data_An_Cour!$V:$V,$C222,BV_Data_An_Cour!$W:$W,$L$2)</f>
        <v>3638.11</v>
      </c>
      <c r="M222" s="303"/>
      <c r="N222" s="304">
        <f t="shared" si="119"/>
        <v>-3094.77</v>
      </c>
      <c r="O222" s="303"/>
      <c r="P222" s="178"/>
      <c r="Q222" s="180">
        <f>SUMIFS(BV_Data_An_Prec!$P:$P,BV_Data_An_Prec!$U:$U,$B222,BV_Data_An_Prec!$V:$V,$C222,BV_Data_An_Prec!$W:$W,$L$2)</f>
        <v>8830.34</v>
      </c>
      <c r="R222" s="303"/>
      <c r="S222" s="199">
        <f t="shared" si="120"/>
        <v>-5192.2299999999996</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original'!$A$8:$A$496=$A223)*('Budget original'!$C$3:$AO$3=F$2),'Budget original'!$C$8:$AO$496)</f>
        <v>9738.82</v>
      </c>
      <c r="G223" s="302"/>
      <c r="H223" s="178"/>
      <c r="I223" s="179">
        <f>+SUMPRODUCT(('Budget révisé'!$A$8:$A$496=$A223)*('Budget révisé'!$C$3:$AO$3=I$2),'Budget révisé'!$C$8:$AO$496)</f>
        <v>9738.82</v>
      </c>
      <c r="J223" s="303"/>
      <c r="K223" s="178"/>
      <c r="L223" s="281">
        <f>SUMIFS(BV_Data_An_Cour!$P:$P,BV_Data_An_Cour!$U:$U,$B223,BV_Data_An_Cour!$V:$V,$C223,BV_Data_An_Cour!$W:$W,$L$2)</f>
        <v>10970.66</v>
      </c>
      <c r="M223" s="303"/>
      <c r="N223" s="304">
        <f t="shared" si="119"/>
        <v>1231.8400000000001</v>
      </c>
      <c r="O223" s="303"/>
      <c r="P223" s="178"/>
      <c r="Q223" s="180">
        <f>SUMIFS(BV_Data_An_Prec!$P:$P,BV_Data_An_Prec!$U:$U,$B223,BV_Data_An_Prec!$V:$V,$C223,BV_Data_An_Prec!$W:$W,$L$2)</f>
        <v>19506.689999999999</v>
      </c>
      <c r="R223" s="303"/>
      <c r="S223" s="199">
        <f t="shared" si="120"/>
        <v>-8536.0299999999988</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original'!$A$8:$A$496=$A224)*('Budget original'!$C$3:$AO$3=F$2),'Budget original'!$C$8:$AO$496)</f>
        <v>13770.708545073941</v>
      </c>
      <c r="G224" s="302"/>
      <c r="H224" s="178"/>
      <c r="I224" s="179">
        <f>+SUMPRODUCT(('Budget révisé'!$A$8:$A$496=$A224)*('Budget révisé'!$C$3:$AO$3=I$2),'Budget révisé'!$C$8:$AO$496)</f>
        <v>13770.708545073941</v>
      </c>
      <c r="J224" s="303"/>
      <c r="K224" s="178"/>
      <c r="L224" s="281">
        <f>AF447*W5</f>
        <v>10145.6505</v>
      </c>
      <c r="M224" s="303"/>
      <c r="N224" s="304">
        <f t="shared" si="119"/>
        <v>-3625.0580450739417</v>
      </c>
      <c r="O224" s="303"/>
      <c r="P224" s="178"/>
      <c r="Q224" s="180">
        <f>AL447*W5</f>
        <v>10993.092750000002</v>
      </c>
      <c r="R224" s="303"/>
      <c r="S224" s="199">
        <f t="shared" si="120"/>
        <v>-847.44225000000188</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original'!$A$8:$A$496=$A225)*('Budget original'!$C$3:$AO$3=F$2),'Budget original'!$C$8:$AO$496)</f>
        <v>0</v>
      </c>
      <c r="G225" s="302"/>
      <c r="H225" s="178"/>
      <c r="I225" s="179">
        <f>+SUMPRODUCT(('Budget révisé'!$A$8:$A$496=$A225)*('Budget révisé'!$C$3:$AO$3=I$2),'Budget révisé'!$C$8:$AO$496)</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original'!$A$8:$A$496=$A226)*('Budget original'!$C$3:$AO$3=F$2),'Budget original'!$C$8:$AO$496)</f>
        <v>0</v>
      </c>
      <c r="G226" s="302"/>
      <c r="H226" s="178"/>
      <c r="I226" s="179">
        <f>+SUMPRODUCT(('Budget révisé'!$A$8:$A$496=$A226)*('Budget révisé'!$C$3:$AO$3=I$2),'Budget révisé'!$C$8:$AO$496)</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original'!$A$8:$A$496=$A227)*('Budget original'!$C$3:$AO$3=F$2),'Budget original'!$C$8:$AO$496)</f>
        <v>0</v>
      </c>
      <c r="G227" s="302"/>
      <c r="H227" s="178"/>
      <c r="I227" s="179">
        <f>+SUMPRODUCT(('Budget révisé'!$A$8:$A$496=$A227)*('Budget révisé'!$C$3:$AO$3=I$2),'Budget révisé'!$C$8:$AO$496)</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0.26727285313441618</v>
      </c>
      <c r="F228" s="41">
        <f>+SUM(F210:F227)</f>
        <v>309433.34867508325</v>
      </c>
      <c r="G228" s="42" t="s">
        <v>170</v>
      </c>
      <c r="H228" s="40">
        <f>I228/I$193</f>
        <v>0.26727285313441618</v>
      </c>
      <c r="I228" s="41">
        <f>+SUM(I210:I227)</f>
        <v>309433.34867508325</v>
      </c>
      <c r="J228" s="42" t="s">
        <v>170</v>
      </c>
      <c r="K228" s="40">
        <f>L228/L$193</f>
        <v>0.23605693576533013</v>
      </c>
      <c r="L228" s="41">
        <f>+SUM(L210:L227)</f>
        <v>255004.98049999998</v>
      </c>
      <c r="M228" s="44"/>
      <c r="N228" s="41">
        <f t="shared" si="119"/>
        <v>-54428.368175083277</v>
      </c>
      <c r="O228" s="42" t="s">
        <v>170</v>
      </c>
      <c r="P228" s="40">
        <f>Q228/Q$193</f>
        <v>0.32245090695774253</v>
      </c>
      <c r="Q228" s="41">
        <f>+SUM(Q210:Q227)</f>
        <v>369881.93275000009</v>
      </c>
      <c r="R228" s="44"/>
      <c r="S228" s="316">
        <f t="shared" si="120"/>
        <v>-114876.95225000012</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0.94921080993872398</v>
      </c>
      <c r="F230" s="41">
        <f>F209+F228</f>
        <v>1098942.4330731102</v>
      </c>
      <c r="G230" s="42" t="s">
        <v>111</v>
      </c>
      <c r="H230" s="40">
        <f>I230/I$193</f>
        <v>0.94921080993872398</v>
      </c>
      <c r="I230" s="41">
        <f>I209+I228</f>
        <v>1098942.4330731102</v>
      </c>
      <c r="J230" s="42" t="s">
        <v>111</v>
      </c>
      <c r="K230" s="40">
        <f>L230/L$193</f>
        <v>0.85985449447700502</v>
      </c>
      <c r="L230" s="41">
        <f>L209+L228</f>
        <v>928874.12049999996</v>
      </c>
      <c r="M230" s="44"/>
      <c r="N230" s="46">
        <f t="shared" ref="N230:N232" si="129">L230-I230</f>
        <v>-170068.31257311022</v>
      </c>
      <c r="O230" s="42" t="s">
        <v>111</v>
      </c>
      <c r="P230" s="40">
        <f>Q230/Q$193</f>
        <v>0.88369495315881941</v>
      </c>
      <c r="Q230" s="41">
        <f>Q209+Q228</f>
        <v>1013682.3627500001</v>
      </c>
      <c r="R230" s="44"/>
      <c r="S230" s="299">
        <f>L230-Q230</f>
        <v>-84808.242250000127</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58800.843306192895</v>
      </c>
      <c r="G232" s="344"/>
      <c r="H232" s="342"/>
      <c r="I232" s="343">
        <f>I193-I230</f>
        <v>58800.843306192895</v>
      </c>
      <c r="J232" s="345"/>
      <c r="K232" s="346"/>
      <c r="L232" s="343">
        <f>L193-L230</f>
        <v>151394.8395</v>
      </c>
      <c r="M232" s="345"/>
      <c r="N232" s="343">
        <f t="shared" si="129"/>
        <v>92593.996193807106</v>
      </c>
      <c r="O232" s="345"/>
      <c r="P232" s="346"/>
      <c r="Q232" s="343">
        <f>Q193-Q230</f>
        <v>133412.97725</v>
      </c>
      <c r="R232" s="345"/>
      <c r="S232" s="347">
        <f>L232-Q232</f>
        <v>17981.862250000006</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AAD, Juillet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61" t="s">
        <v>77</v>
      </c>
      <c r="E237" s="1162"/>
      <c r="F237" s="1163"/>
      <c r="G237" s="1164" t="s">
        <v>145</v>
      </c>
      <c r="H237" s="1162"/>
      <c r="I237" s="1163"/>
      <c r="J237" s="1164" t="s">
        <v>79</v>
      </c>
      <c r="K237" s="1162"/>
      <c r="L237" s="1163"/>
      <c r="M237" s="1164" t="s">
        <v>80</v>
      </c>
      <c r="N237" s="1163"/>
      <c r="O237" s="1161" t="s">
        <v>81</v>
      </c>
      <c r="P237" s="1162"/>
      <c r="Q237" s="1163"/>
      <c r="R237" s="1164" t="s">
        <v>82</v>
      </c>
      <c r="S237" s="1165"/>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original'!$A$8:$A$496=$A240)*('Budget original'!$C$3:$AO$3=D$2),'Budget original'!$C$8:$AO$496)</f>
        <v>0</v>
      </c>
      <c r="E240" s="197">
        <f>+SUMPRODUCT(('Budget original'!$A$8:$A$496=$A240)*('Budget original'!$C$3:$AO$3=E$2),'Budget original'!$C$8:$AO$496)</f>
        <v>603331.33937840047</v>
      </c>
      <c r="F240" s="197">
        <f>+SUMPRODUCT(('Budget original'!$A$8:$A$496=$A240)*('Budget original'!$C$3:$AO$3=F$2),'Budget original'!$C$8:$AO$496)</f>
        <v>137461.70786378154</v>
      </c>
      <c r="G240" s="348">
        <f>+SUMPRODUCT(('Budget révisé'!$A$8:$A$496=$A240)*('Budget révisé'!$C$3:$AO$3=G$2),'Budget révisé'!$C$8:$AO$496)</f>
        <v>0</v>
      </c>
      <c r="H240" s="197">
        <f>+SUMPRODUCT(('Budget révisé'!$A$8:$A$496=$A240)*('Budget révisé'!$C$3:$AO$3=H$2),'Budget révisé'!$C$8:$AO$496)</f>
        <v>603331.33937840047</v>
      </c>
      <c r="I240" s="197">
        <f>+SUMPRODUCT(('Budget révisé'!$A$8:$A$496=$A240)*('Budget révisé'!$C$3:$AO$3=I$2),'Budget révisé'!$C$8:$AO$496)</f>
        <v>137461.70786378154</v>
      </c>
      <c r="J240" s="325">
        <f>-SUMIFS(BV_Data_An_Cour!$P:$P,BV_Data_An_Cour!$U:$U,$B240,BV_Data_An_Cour!$V:$V,$C240,BV_Data_An_Cour!$W:$W,J$2)</f>
        <v>409</v>
      </c>
      <c r="K240" s="179">
        <f>-SUMIFS(BV_Data_An_Cour!$P:$P,BV_Data_An_Cour!$X:$X,"Oui",BV_Data_An_Cour!$U:$U,$B240,BV_Data_An_Cour!$V:$V,$C240)</f>
        <v>569133.19999999995</v>
      </c>
      <c r="L240" s="180">
        <f>-SUMIFS(BV_Data_An_Cour!$P:$P,BV_Data_An_Cour!$U:$U,$B240,BV_Data_An_Cour!$V:$V,$C240,BV_Data_An_Cour!$W:$W,$L$2)</f>
        <v>121256.24999999996</v>
      </c>
      <c r="M240" s="324">
        <f>IFERROR((K240-H240)/H240,0)</f>
        <v>-5.6682186298550541E-2</v>
      </c>
      <c r="N240" s="304">
        <f>L240-I240</f>
        <v>-16205.457863781587</v>
      </c>
      <c r="O240" s="325">
        <f>-SUMIFS(BV_Data_An_Prec!$P:$P,BV_Data_An_Prec!$U:$U,$B240,BV_Data_An_Prec!$V:$V,$C240,BV_Data_An_Prec!$W:$W,O$2)</f>
        <v>621</v>
      </c>
      <c r="P240" s="179">
        <f>-SUMIFS(BV_Data_An_Prec!$P:$P,BV_Data_An_Prec!$X:$X,"Oui",BV_Data_An_Prec!$U:$U,$B240,BV_Data_An_Prec!$V:$V,$C240)</f>
        <v>804970.83000000007</v>
      </c>
      <c r="Q240" s="180">
        <f>-SUMIFS(BV_Data_An_Prec!$P:$P,BV_Data_An_Prec!$U:$U,$B240,BV_Data_An_Prec!$V:$V,$C240,BV_Data_An_Prec!$W:$W,$L$2)</f>
        <v>180117.65000000014</v>
      </c>
      <c r="R240" s="324">
        <f>IF(O240=0,0,J240/O240)</f>
        <v>0.65861513687600648</v>
      </c>
      <c r="S240" s="199">
        <f>L240-Q240</f>
        <v>-58861.400000000183</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0.2278378378378379</v>
      </c>
      <c r="G241" s="303"/>
      <c r="H241" s="349"/>
      <c r="I241" s="350">
        <f>IFERROR(I240/H240,0)</f>
        <v>0.2278378378378379</v>
      </c>
      <c r="J241" s="325"/>
      <c r="K241" s="178"/>
      <c r="L241" s="350">
        <f>IFERROR(L240/K240,0)</f>
        <v>0.21305425513746162</v>
      </c>
      <c r="M241" s="324"/>
      <c r="N241" s="304">
        <f>IFERROR(N240/M240,0)</f>
        <v>285900.36697642319</v>
      </c>
      <c r="O241" s="325"/>
      <c r="P241" s="178"/>
      <c r="Q241" s="350">
        <f>IFERROR(Q240/P240,0)</f>
        <v>0.22375674159522044</v>
      </c>
      <c r="R241" s="325"/>
      <c r="S241" s="199">
        <f>IFERROR(S240/R240,0)</f>
        <v>-89371.46552567264</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original'!$A$8:$A$496=$A243)*('Budget original'!$C$3:$AO$3=D$2),'Budget original'!$C$8:$AO$496)</f>
        <v>0</v>
      </c>
      <c r="E243" s="197">
        <f>+SUMPRODUCT(('Budget original'!$A$8:$A$496=$A243)*('Budget original'!$C$3:$AO$3=E$2),'Budget original'!$C$8:$AO$496)</f>
        <v>0</v>
      </c>
      <c r="F243" s="197">
        <f>+SUMPRODUCT(('Budget original'!$A$8:$A$496=$A243)*('Budget original'!$C$3:$AO$3=F$2),'Budget original'!$C$8:$AO$496)</f>
        <v>0</v>
      </c>
      <c r="G243" s="353">
        <f>+SUMPRODUCT(('Budget révisé'!$A$8:$A$496=$A243)*('Budget révisé'!$C$3:$AO$3=G$2),'Budget révisé'!$C$8:$AO$496)</f>
        <v>0</v>
      </c>
      <c r="H243" s="197">
        <f>+SUMPRODUCT(('Budget révisé'!$A$8:$A$496=$A243)*('Budget révisé'!$C$3:$AO$3=H$2),'Budget révisé'!$C$8:$AO$496)</f>
        <v>0</v>
      </c>
      <c r="I243" s="197">
        <f>+SUMPRODUCT(('Budget révisé'!$A$8:$A$496=$A243)*('Budget révisé'!$C$3:$AO$3=I$2),'Budget révisé'!$C$8:$AO$496)</f>
        <v>0</v>
      </c>
      <c r="J243" s="354">
        <f>SUMIFS(BV_Data_An_Cour!$C$1:$C$636,BV_Data_An_Cour!$V$1:$V$636,$C243,BV_Data_An_Cour!$U$1:$U$636,$K$235)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original'!$A$8:$A$496=$A246)*('Budget original'!$C$3:$AO$3=D$2),'Budget original'!$C$8:$AO$496)</f>
        <v>0</v>
      </c>
      <c r="E246" s="197">
        <f>+SUMPRODUCT(('Budget original'!$A$8:$A$496=$A246)*('Budget original'!$C$3:$AO$3=E$2),'Budget original'!$C$8:$AO$496)</f>
        <v>0</v>
      </c>
      <c r="F246" s="197">
        <f>+SUMPRODUCT(('Budget original'!$A$8:$A$496=$A246)*('Budget original'!$C$3:$AO$3=F$2),'Budget original'!$C$8:$AO$496)</f>
        <v>0</v>
      </c>
      <c r="G246" s="354">
        <f>+SUMPRODUCT(('Budget révisé'!$A$8:$A$496=$A246)*('Budget révisé'!$C$3:$AO$3=G$2),'Budget révisé'!$C$8:$AO$496)</f>
        <v>0</v>
      </c>
      <c r="H246" s="197">
        <f>+SUMPRODUCT(('Budget révisé'!$A$8:$A$496=$A246)*('Budget révisé'!$C$3:$AO$3=H$2),'Budget révisé'!$C$8:$AO$496)</f>
        <v>0</v>
      </c>
      <c r="I246" s="197">
        <f>+SUMPRODUCT(('Budget révisé'!$A$8:$A$496=$A246)*('Budget révisé'!$C$3:$AO$3=I$2),'Budget révisé'!$C$8:$AO$496)</f>
        <v>0</v>
      </c>
      <c r="J246" s="354">
        <f>SUMIFS(BV_Data_An_Cour!$C$1:$C$636,BV_Data_An_Cour!$V$1:$V$636,$C246,BV_Data_An_Cour!$U$1:$U$636,$K$235)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603331.33937840047</v>
      </c>
      <c r="F249" s="28">
        <f t="shared" si="131"/>
        <v>137461.70786378154</v>
      </c>
      <c r="G249" s="29"/>
      <c r="H249" s="26">
        <f t="shared" ref="H249:I249" si="132">H243+H246+H240</f>
        <v>603331.33937840047</v>
      </c>
      <c r="I249" s="28">
        <f t="shared" si="132"/>
        <v>137461.70786378154</v>
      </c>
      <c r="J249" s="29"/>
      <c r="K249" s="26">
        <f t="shared" ref="K249:L249" si="133">K243+K246+K240</f>
        <v>569133.19999999995</v>
      </c>
      <c r="L249" s="28">
        <f t="shared" si="133"/>
        <v>121256.24999999996</v>
      </c>
      <c r="M249" s="70">
        <f>L250-I250</f>
        <v>-1.4783582700376274E-2</v>
      </c>
      <c r="N249" s="28">
        <f>L249-I249</f>
        <v>-16205.457863781587</v>
      </c>
      <c r="O249" s="29"/>
      <c r="P249" s="26">
        <f t="shared" ref="P249:Q249" si="134">P243+P246+P240</f>
        <v>804970.83000000007</v>
      </c>
      <c r="Q249" s="28">
        <f t="shared" si="134"/>
        <v>180117.65000000014</v>
      </c>
      <c r="R249" s="70">
        <f>L250-Q250</f>
        <v>-1.0702486457758814E-2</v>
      </c>
      <c r="S249" s="363">
        <f>L249-Q249</f>
        <v>-58861.400000000183</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0.2278378378378379</v>
      </c>
      <c r="G250" s="31"/>
      <c r="H250" s="365"/>
      <c r="I250" s="34">
        <f>I249/H249</f>
        <v>0.2278378378378379</v>
      </c>
      <c r="J250" s="31"/>
      <c r="K250" s="365"/>
      <c r="L250" s="34">
        <f>IF(K249=0,0,L249/K249)</f>
        <v>0.21305425513746162</v>
      </c>
      <c r="M250" s="33"/>
      <c r="N250" s="34">
        <f>N249/I249</f>
        <v>-0.11789070655109622</v>
      </c>
      <c r="O250" s="31"/>
      <c r="P250" s="365"/>
      <c r="Q250" s="34">
        <f>IF(P249=0,0,Q249/P249)</f>
        <v>0.22375674159522044</v>
      </c>
      <c r="R250" s="33"/>
      <c r="S250" s="272">
        <f>IF(R249=0,0,S249/R249)</f>
        <v>5499787.384204383</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original'!$A$8:$A$496=$A253)*('Budget original'!$C$3:$AO$3=F$2),'Budget original'!$C$8:$AO$496)</f>
        <v>2036.8800766283528</v>
      </c>
      <c r="G253" s="227"/>
      <c r="H253" s="233"/>
      <c r="I253" s="231">
        <f>+SUMPRODUCT(('Budget révisé'!$A$8:$A$496=$A253)*('Budget révisé'!$C$3:$AO$3=I$2),'Budget révisé'!$C$8:$AO$496)</f>
        <v>2036.8800766283528</v>
      </c>
      <c r="J253" s="227"/>
      <c r="K253" s="233"/>
      <c r="L253" s="281">
        <f>SUMIFS(BV_Data_An_Cour!$P:$P,BV_Data_An_Cour!$U:$U,$B253,BV_Data_An_Cour!$V:$V,$C253,BV_Data_An_Cour!$W:$W,$L$2)</f>
        <v>5663.84</v>
      </c>
      <c r="M253" s="227"/>
      <c r="N253" s="232"/>
      <c r="O253" s="227"/>
      <c r="P253" s="233"/>
      <c r="Q253" s="281">
        <f>SUMIFS(BV_Data_An_Prec!$P:$P,BV_Data_An_Prec!$U:$U,$B253,BV_Data_An_Prec!$V:$V,$C253,BV_Data_An_Prec!$W:$W,$L$2)</f>
        <v>3100.53</v>
      </c>
      <c r="R253" s="227"/>
      <c r="S253" s="512">
        <f>L253-Q253</f>
        <v>2563.31</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original'!$A$8:$A$496=$A254)*('Budget original'!$C$3:$AO$3=F$2),'Budget original'!$C$8:$AO$496)</f>
        <v>3824.3268726283532</v>
      </c>
      <c r="G254" s="283"/>
      <c r="H254" s="233"/>
      <c r="I254" s="244">
        <f>+SUMPRODUCT(('Budget révisé'!$A$8:$A$496=$A254)*('Budget révisé'!$C$3:$AO$3=I$2),'Budget révisé'!$C$8:$AO$496)</f>
        <v>3824.3268726283532</v>
      </c>
      <c r="J254" s="227"/>
      <c r="K254" s="233"/>
      <c r="L254" s="281">
        <f>SUMIFS(BV_Data_An_Cour!$P:$P,BV_Data_An_Cour!$U:$U,$B254,BV_Data_An_Cour!$V:$V,$C254,BV_Data_An_Cour!$W:$W,$L$2)</f>
        <v>4209.87</v>
      </c>
      <c r="M254" s="227"/>
      <c r="N254" s="232">
        <f t="shared" ref="N254:N283" si="135">L254-I254</f>
        <v>385.54312737164673</v>
      </c>
      <c r="O254" s="227"/>
      <c r="P254" s="233"/>
      <c r="Q254" s="281">
        <f>SUMIFS(BV_Data_An_Prec!$P:$P,BV_Data_An_Prec!$U:$U,$B254,BV_Data_An_Prec!$V:$V,$C254,BV_Data_An_Prec!$W:$W,$L$2)</f>
        <v>8051.82</v>
      </c>
      <c r="R254" s="227"/>
      <c r="S254" s="284">
        <f>L254-Q254</f>
        <v>-3841.95</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original'!$A$8:$A$496=$A255)*('Budget original'!$C$3:$AO$3=F$2),'Budget original'!$C$8:$AO$496)</f>
        <v>23710.679608729501</v>
      </c>
      <c r="G255" s="287"/>
      <c r="H255" s="286"/>
      <c r="I255" s="231">
        <f>+SUMPRODUCT(('Budget révisé'!$A$8:$A$496=$A255)*('Budget révisé'!$C$3:$AO$3=I$2),'Budget révisé'!$C$8:$AO$496)</f>
        <v>23710.679608729501</v>
      </c>
      <c r="J255" s="288"/>
      <c r="K255" s="286"/>
      <c r="L255" s="245">
        <f>SUMIFS(BV_Data_An_Cour!$P:$P,BV_Data_An_Cour!$U:$U,$B255,BV_Data_An_Cour!$V:$V,$C255,BV_Data_An_Cour!$W:$W,$L$2)</f>
        <v>24641.17</v>
      </c>
      <c r="M255" s="288"/>
      <c r="N255" s="289">
        <f t="shared" si="135"/>
        <v>930.49039127049764</v>
      </c>
      <c r="O255" s="288"/>
      <c r="P255" s="286"/>
      <c r="Q255" s="245">
        <f>SUMIFS(BV_Data_An_Prec!$P:$P,BV_Data_An_Prec!$U:$U,$B255,BV_Data_An_Prec!$V:$V,$C255,BV_Data_An_Prec!$W:$W,$L$2)</f>
        <v>38212.400000000001</v>
      </c>
      <c r="R255" s="288"/>
      <c r="S255" s="290">
        <f t="shared" ref="S255:S284" si="136">L255-Q255</f>
        <v>-13571.230000000003</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original'!$A$8:$A$496=$A256)*('Budget original'!$C$3:$AO$3=F$2),'Budget original'!$C$8:$AO$496)</f>
        <v>24703.507287356319</v>
      </c>
      <c r="G256" s="283"/>
      <c r="H256" s="233"/>
      <c r="I256" s="231">
        <f>+SUMPRODUCT(('Budget révisé'!$A$8:$A$496=$A256)*('Budget révisé'!$C$3:$AO$3=I$2),'Budget révisé'!$C$8:$AO$496)</f>
        <v>24703.507287356319</v>
      </c>
      <c r="J256" s="227"/>
      <c r="K256" s="233"/>
      <c r="L256" s="281">
        <f>SUMIFS(BV_Data_An_Cour!$P:$P,BV_Data_An_Cour!$U:$U,$B256,BV_Data_An_Cour!$V:$V,$C256,BV_Data_An_Cour!$W:$W,$L$2)</f>
        <v>17573.29</v>
      </c>
      <c r="M256" s="227"/>
      <c r="N256" s="232">
        <f t="shared" si="135"/>
        <v>-7130.2172873563177</v>
      </c>
      <c r="O256" s="227"/>
      <c r="P256" s="233"/>
      <c r="Q256" s="281">
        <f>SUMIFS(BV_Data_An_Prec!$P:$P,BV_Data_An_Prec!$U:$U,$B256,BV_Data_An_Prec!$V:$V,$C256,BV_Data_An_Prec!$W:$W,$L$2)</f>
        <v>39100.639999999999</v>
      </c>
      <c r="R256" s="227"/>
      <c r="S256" s="284">
        <f t="shared" si="136"/>
        <v>-21527.35</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original'!$A$8:$A$496=$A257)*('Budget original'!$C$3:$AO$3=F$2),'Budget original'!$C$8:$AO$496)</f>
        <v>0</v>
      </c>
      <c r="G257" s="283"/>
      <c r="H257" s="233"/>
      <c r="I257" s="231">
        <f>+SUMPRODUCT(('Budget révisé'!$A$8:$A$496=$A257)*('Budget révisé'!$C$3:$AO$3=I$2),'Budget révisé'!$C$8:$AO$496)</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original'!$A$8:$A$496=$A258)*('Budget original'!$C$3:$AO$3=F$2),'Budget original'!$C$8:$AO$496)</f>
        <v>0</v>
      </c>
      <c r="G258" s="283"/>
      <c r="H258" s="233"/>
      <c r="I258" s="231">
        <f>+SUMPRODUCT(('Budget révisé'!$A$8:$A$496=$A258)*('Budget révisé'!$C$3:$AO$3=I$2),'Budget révisé'!$C$8:$AO$496)</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original'!$A$8:$A$496=$A259)*('Budget original'!$C$3:$AO$3=F$2),'Budget original'!$C$8:$AO$496)</f>
        <v>0</v>
      </c>
      <c r="G259" s="283"/>
      <c r="H259" s="233"/>
      <c r="I259" s="231">
        <f>+SUMPRODUCT(('Budget révisé'!$A$8:$A$496=$A259)*('Budget révisé'!$C$3:$AO$3=I$2),'Budget révisé'!$C$8:$AO$496)</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original'!$A$8:$A$496=$A260)*('Budget original'!$C$3:$AO$3=F$2),'Budget original'!$C$8:$AO$496)</f>
        <v>6513.0472614411028</v>
      </c>
      <c r="G260" s="283"/>
      <c r="H260" s="233"/>
      <c r="I260" s="244">
        <f>+SUMPRODUCT(('Budget révisé'!$A$8:$A$496=$A260)*('Budget révisé'!$C$3:$AO$3=I$2),'Budget révisé'!$C$8:$AO$496)</f>
        <v>6513.0472614411028</v>
      </c>
      <c r="J260" s="227"/>
      <c r="K260" s="233"/>
      <c r="L260" s="281">
        <f>SUMIFS(BV_Data_An_Cour!$P:$P,BV_Data_An_Cour!$U:$U,$B260,BV_Data_An_Cour!$V:$V,$C260,BV_Data_An_Cour!$W:$W,$L$2)</f>
        <v>3341.47</v>
      </c>
      <c r="M260" s="227"/>
      <c r="N260" s="232">
        <f t="shared" si="135"/>
        <v>-3171.577261441103</v>
      </c>
      <c r="O260" s="227"/>
      <c r="P260" s="233"/>
      <c r="Q260" s="281">
        <f>SUMIFS(BV_Data_An_Prec!$P:$P,BV_Data_An_Prec!$U:$U,$B260,BV_Data_An_Prec!$V:$V,$C260,BV_Data_An_Prec!$W:$W,$L$2)</f>
        <v>8447</v>
      </c>
      <c r="R260" s="227"/>
      <c r="S260" s="284">
        <f t="shared" si="136"/>
        <v>-5105.5300000000007</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original'!$A$8:$A$496=$A261)*('Budget original'!$C$3:$AO$3=F$2),'Budget original'!$C$8:$AO$496)</f>
        <v>6513.0472614411028</v>
      </c>
      <c r="G261" s="287"/>
      <c r="H261" s="286"/>
      <c r="I261" s="231">
        <f>+SUMPRODUCT(('Budget révisé'!$A$8:$A$496=$A261)*('Budget révisé'!$C$3:$AO$3=I$2),'Budget révisé'!$C$8:$AO$496)</f>
        <v>6513.0472614411028</v>
      </c>
      <c r="J261" s="288"/>
      <c r="K261" s="286"/>
      <c r="L261" s="245">
        <f>SUMIFS(BV_Data_An_Cour!$P:$P,BV_Data_An_Cour!$U:$U,$B261,BV_Data_An_Cour!$V:$V,$C261,BV_Data_An_Cour!$W:$W,$L$2)</f>
        <v>6081.7</v>
      </c>
      <c r="M261" s="288"/>
      <c r="N261" s="289">
        <f t="shared" si="135"/>
        <v>-431.347261441103</v>
      </c>
      <c r="O261" s="288"/>
      <c r="P261" s="286"/>
      <c r="Q261" s="245">
        <f>SUMIFS(BV_Data_An_Prec!$P:$P,BV_Data_An_Prec!$U:$U,$B261,BV_Data_An_Prec!$V:$V,$C261,BV_Data_An_Prec!$W:$W,$L$2)</f>
        <v>8391.8700000000008</v>
      </c>
      <c r="R261" s="288"/>
      <c r="S261" s="290">
        <f t="shared" si="136"/>
        <v>-2310.170000000001</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original'!$A$8:$A$496=$A262)*('Budget original'!$C$3:$AO$3=F$2),'Budget original'!$C$8:$AO$496)</f>
        <v>4667.6838706994567</v>
      </c>
      <c r="G262" s="283"/>
      <c r="H262" s="233"/>
      <c r="I262" s="231">
        <f>+SUMPRODUCT(('Budget révisé'!$A$8:$A$496=$A262)*('Budget révisé'!$C$3:$AO$3=I$2),'Budget révisé'!$C$8:$AO$496)</f>
        <v>4667.6838706994567</v>
      </c>
      <c r="J262" s="227"/>
      <c r="K262" s="233"/>
      <c r="L262" s="281">
        <f>SUMIFS(BV_Data_An_Cour!$P:$P,BV_Data_An_Cour!$U:$U,$B262,BV_Data_An_Cour!$V:$V,$C262,BV_Data_An_Cour!$W:$W,$L$2)</f>
        <v>4358.55</v>
      </c>
      <c r="M262" s="227"/>
      <c r="N262" s="232">
        <f t="shared" si="135"/>
        <v>-309.13387069945657</v>
      </c>
      <c r="O262" s="227"/>
      <c r="P262" s="233"/>
      <c r="Q262" s="281">
        <f>SUMIFS(BV_Data_An_Prec!$P:$P,BV_Data_An_Prec!$U:$U,$B262,BV_Data_An_Prec!$V:$V,$C262,BV_Data_An_Prec!$W:$W,$L$2)</f>
        <v>3726.31</v>
      </c>
      <c r="R262" s="227"/>
      <c r="S262" s="284">
        <f t="shared" si="136"/>
        <v>632.24000000000024</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original'!$A$8:$A$496=$A263)*('Budget original'!$C$3:$AO$3=F$2),'Budget original'!$C$8:$AO$496)</f>
        <v>1085.5078769068505</v>
      </c>
      <c r="G263" s="283"/>
      <c r="H263" s="233"/>
      <c r="I263" s="231">
        <f>+SUMPRODUCT(('Budget révisé'!$A$8:$A$496=$A263)*('Budget révisé'!$C$3:$AO$3=I$2),'Budget révisé'!$C$8:$AO$496)</f>
        <v>1085.5078769068505</v>
      </c>
      <c r="J263" s="227"/>
      <c r="K263" s="233"/>
      <c r="L263" s="281">
        <f>SUMIFS(BV_Data_An_Cour!$P:$P,BV_Data_An_Cour!$U:$U,$B263,BV_Data_An_Cour!$V:$V,$C263,BV_Data_An_Cour!$W:$W,$L$2)</f>
        <v>1013.62</v>
      </c>
      <c r="M263" s="227"/>
      <c r="N263" s="232">
        <f t="shared" si="135"/>
        <v>-71.887876906850465</v>
      </c>
      <c r="O263" s="227"/>
      <c r="P263" s="233"/>
      <c r="Q263" s="281">
        <f>SUMIFS(BV_Data_An_Prec!$P:$P,BV_Data_An_Prec!$U:$U,$B263,BV_Data_An_Prec!$V:$V,$C263,BV_Data_An_Prec!$W:$W,$L$2)</f>
        <v>2038.16</v>
      </c>
      <c r="R263" s="227"/>
      <c r="S263" s="284">
        <f t="shared" si="136"/>
        <v>-1024.54</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73054.680115831041</v>
      </c>
      <c r="G265" s="42" t="s">
        <v>111</v>
      </c>
      <c r="H265" s="40" t="e">
        <f>I265/I$243</f>
        <v>#DIV/0!</v>
      </c>
      <c r="I265" s="41">
        <f>+SUM(I253:I264)</f>
        <v>73054.680115831041</v>
      </c>
      <c r="J265" s="42" t="s">
        <v>111</v>
      </c>
      <c r="K265" s="40">
        <f>IF(L243=0,0,L265/L$243)</f>
        <v>0</v>
      </c>
      <c r="L265" s="41">
        <f>+SUM(L253:L264)</f>
        <v>66883.509999999995</v>
      </c>
      <c r="M265" s="43"/>
      <c r="N265" s="46">
        <f t="shared" si="135"/>
        <v>-6171.1701158310461</v>
      </c>
      <c r="O265" s="42" t="s">
        <v>111</v>
      </c>
      <c r="P265" s="40">
        <f>IF(Q243=0,0,Q265/Q$243)</f>
        <v>0</v>
      </c>
      <c r="Q265" s="41">
        <f>+SUM(Q253:Q264)</f>
        <v>111068.73</v>
      </c>
      <c r="R265" s="43"/>
      <c r="S265" s="299">
        <f t="shared" si="136"/>
        <v>-44185.22</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original'!$A$8:$A$496=$A266)*('Budget original'!$C$3:$AO$3=F$2),'Budget original'!$C$8:$AO$496)</f>
        <v>0</v>
      </c>
      <c r="G266" s="302"/>
      <c r="H266" s="178"/>
      <c r="I266" s="179">
        <f>+SUMPRODUCT(('Budget révisé'!$A$8:$A$496=$A266)*('Budget révisé'!$C$3:$AO$3=I$2),'Budget révisé'!$C$8:$AO$496)</f>
        <v>0</v>
      </c>
      <c r="J266" s="303"/>
      <c r="K266" s="178"/>
      <c r="L266" s="281">
        <f>SUMIFS(BV_Data_An_Cour!$P:$P,BV_Data_An_Cour!$U:$U,$B266,BV_Data_An_Cour!$V:$V,$C266,BV_Data_An_Cour!$W:$W,$L$2)</f>
        <v>100.65</v>
      </c>
      <c r="M266" s="303"/>
      <c r="N266" s="304">
        <f t="shared" si="135"/>
        <v>100.65</v>
      </c>
      <c r="O266" s="303"/>
      <c r="P266" s="178"/>
      <c r="Q266" s="281">
        <f>SUMIFS(BV_Data_An_Prec!$P:$P,BV_Data_An_Prec!$U:$U,$B266,BV_Data_An_Prec!$V:$V,$C266,BV_Data_An_Prec!$W:$W,$L$2)</f>
        <v>0</v>
      </c>
      <c r="R266" s="303"/>
      <c r="S266" s="199">
        <f t="shared" si="136"/>
        <v>100.65</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original'!$A$8:$A$496=$A267)*('Budget original'!$C$3:$AO$3=F$2),'Budget original'!$C$8:$AO$496)</f>
        <v>7674.2528311523183</v>
      </c>
      <c r="G267" s="302"/>
      <c r="H267" s="178"/>
      <c r="I267" s="179">
        <f>+SUMPRODUCT(('Budget révisé'!$A$8:$A$496=$A267)*('Budget révisé'!$C$3:$AO$3=I$2),'Budget révisé'!$C$8:$AO$496)</f>
        <v>7674.2528311523183</v>
      </c>
      <c r="J267" s="303"/>
      <c r="K267" s="178"/>
      <c r="L267" s="180">
        <f>SUMIFS(BV_Data_An_Cour!$P:$P,BV_Data_An_Cour!$U:$U,$B267,BV_Data_An_Cour!$V:$V,$C267,BV_Data_An_Cour!$W:$W,$L$2)</f>
        <v>341.97</v>
      </c>
      <c r="M267" s="303"/>
      <c r="N267" s="304">
        <f t="shared" si="135"/>
        <v>-7332.2828311523181</v>
      </c>
      <c r="O267" s="303"/>
      <c r="P267" s="178"/>
      <c r="Q267" s="180">
        <f>SUMIFS(BV_Data_An_Prec!$P:$P,BV_Data_An_Prec!$U:$U,$B267,BV_Data_An_Prec!$V:$V,$C267,BV_Data_An_Prec!$W:$W,$L$2)</f>
        <v>7005.2</v>
      </c>
      <c r="R267" s="303"/>
      <c r="S267" s="199">
        <f t="shared" si="136"/>
        <v>-6663.23</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original'!$A$8:$A$496=$A268)*('Budget original'!$C$3:$AO$3=F$2),'Budget original'!$C$8:$AO$496)</f>
        <v>2092.58</v>
      </c>
      <c r="G268" s="309"/>
      <c r="H268" s="308"/>
      <c r="I268" s="177">
        <f>+SUMPRODUCT(('Budget révisé'!$A$8:$A$496=$A268)*('Budget révisé'!$C$3:$AO$3=I$2),'Budget révisé'!$C$8:$AO$496)</f>
        <v>2092.58</v>
      </c>
      <c r="J268" s="310"/>
      <c r="K268" s="308"/>
      <c r="L268" s="180">
        <f>SUMIFS(BV_Data_An_Cour!$P:$P,BV_Data_An_Cour!$U:$U,$B268,BV_Data_An_Cour!$V:$V,$C268,BV_Data_An_Cour!$W:$W,$L$2)</f>
        <v>4487.74</v>
      </c>
      <c r="M268" s="310"/>
      <c r="N268" s="311">
        <f t="shared" si="135"/>
        <v>2395.16</v>
      </c>
      <c r="O268" s="310"/>
      <c r="P268" s="308"/>
      <c r="Q268" s="180">
        <f>SUMIFS(BV_Data_An_Prec!$P:$P,BV_Data_An_Prec!$U:$U,$B268,BV_Data_An_Prec!$V:$V,$C268,BV_Data_An_Prec!$W:$W,$L$2)</f>
        <v>12780.51</v>
      </c>
      <c r="R268" s="310"/>
      <c r="S268" s="202">
        <f t="shared" si="136"/>
        <v>-8292.77</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original'!$A$8:$A$496=$A269)*('Budget original'!$C$3:$AO$3=F$2),'Budget original'!$C$8:$AO$496)</f>
        <v>10056.325533333333</v>
      </c>
      <c r="G269" s="302"/>
      <c r="H269" s="178"/>
      <c r="I269" s="179">
        <f>+SUMPRODUCT(('Budget révisé'!$A$8:$A$496=$A269)*('Budget révisé'!$C$3:$AO$3=I$2),'Budget révisé'!$C$8:$AO$496)</f>
        <v>10056.325533333333</v>
      </c>
      <c r="J269" s="303"/>
      <c r="K269" s="178"/>
      <c r="L269" s="181">
        <f>SUMIFS(BV_Data_An_Cour!$P:$P,BV_Data_An_Cour!$U:$U,$B269,BV_Data_An_Cour!$V:$V,$C269,BV_Data_An_Cour!$W:$W,$L$2)</f>
        <v>9510</v>
      </c>
      <c r="M269" s="303"/>
      <c r="N269" s="304">
        <f t="shared" si="135"/>
        <v>-546.32553333333271</v>
      </c>
      <c r="O269" s="303"/>
      <c r="P269" s="178"/>
      <c r="Q269" s="181">
        <f>SUMIFS(BV_Data_An_Prec!$P:$P,BV_Data_An_Prec!$U:$U,$B269,BV_Data_An_Prec!$V:$V,$C269,BV_Data_An_Prec!$W:$W,$L$2)</f>
        <v>9415.92</v>
      </c>
      <c r="R269" s="303"/>
      <c r="S269" s="199">
        <f t="shared" si="136"/>
        <v>94.079999999999927</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original'!$A$8:$A$496=$A270)*('Budget original'!$C$3:$AO$3=F$2),'Budget original'!$C$8:$AO$496)</f>
        <v>2444.6357250000001</v>
      </c>
      <c r="G270" s="302"/>
      <c r="H270" s="178"/>
      <c r="I270" s="179">
        <f>+SUMPRODUCT(('Budget révisé'!$A$8:$A$496=$A270)*('Budget révisé'!$C$3:$AO$3=I$2),'Budget révisé'!$C$8:$AO$496)</f>
        <v>2444.6357250000001</v>
      </c>
      <c r="J270" s="303"/>
      <c r="K270" s="178"/>
      <c r="L270" s="180">
        <f>SUMIFS(BV_Data_An_Cour!$P:$P,BV_Data_An_Cour!$U:$U,$B270,BV_Data_An_Cour!$V:$V,$C270,BV_Data_An_Cour!$W:$W,$L$2)</f>
        <v>748.07</v>
      </c>
      <c r="M270" s="303"/>
      <c r="N270" s="304">
        <f t="shared" si="135"/>
        <v>-1696.5657249999999</v>
      </c>
      <c r="O270" s="303"/>
      <c r="P270" s="178"/>
      <c r="Q270" s="180">
        <f>SUMIFS(BV_Data_An_Prec!$P:$P,BV_Data_An_Prec!$U:$U,$B270,BV_Data_An_Prec!$V:$V,$C270,BV_Data_An_Prec!$W:$W,$L$2)</f>
        <v>2977.73</v>
      </c>
      <c r="R270" s="303"/>
      <c r="S270" s="199">
        <f t="shared" si="136"/>
        <v>-2229.66</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original'!$A$8:$A$496=$A271)*('Budget original'!$C$3:$AO$3=F$2),'Budget original'!$C$8:$AO$496)</f>
        <v>7369.4387083333349</v>
      </c>
      <c r="G271" s="309"/>
      <c r="H271" s="308"/>
      <c r="I271" s="177">
        <f>+SUMPRODUCT(('Budget révisé'!$A$8:$A$496=$A271)*('Budget révisé'!$C$3:$AO$3=I$2),'Budget révisé'!$C$8:$AO$496)</f>
        <v>7369.4387083333349</v>
      </c>
      <c r="J271" s="310"/>
      <c r="K271" s="308"/>
      <c r="L271" s="180">
        <f>SUMIFS(BV_Data_An_Cour!$P:$P,BV_Data_An_Cour!$U:$U,$B271,BV_Data_An_Cour!$V:$V,$C271,BV_Data_An_Cour!$W:$W,$L$2)</f>
        <v>3747.55</v>
      </c>
      <c r="M271" s="310"/>
      <c r="N271" s="311">
        <f t="shared" si="135"/>
        <v>-3621.8887083333348</v>
      </c>
      <c r="O271" s="310"/>
      <c r="P271" s="308"/>
      <c r="Q271" s="177">
        <f>SUMIFS(BV_Data_An_Prec!$P:$P,BV_Data_An_Prec!$U:$U,$B271,BV_Data_An_Prec!$V:$V,$C271,BV_Data_An_Prec!$W:$W,$L$2)</f>
        <v>7226.64</v>
      </c>
      <c r="R271" s="310"/>
      <c r="S271" s="202">
        <f t="shared" si="136"/>
        <v>-3479.09</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8" t="s">
        <v>1996</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original'!$A$8:$A$496=$A273)*('Budget original'!$C$3:$AO$3=F$2),'Budget original'!$C$8:$AO$496)</f>
        <v>0</v>
      </c>
      <c r="G273" s="302"/>
      <c r="H273" s="178"/>
      <c r="I273" s="179">
        <f>+SUMPRODUCT(('Budget révisé'!$A$8:$A$496=$A273)*('Budget révisé'!$C$3:$AO$3=I$2),'Budget révisé'!$C$8:$AO$496)</f>
        <v>0</v>
      </c>
      <c r="J273" s="303"/>
      <c r="K273" s="178"/>
      <c r="L273" s="281">
        <f>SUMIFS(BV_Data_An_Cour!$P:$P,BV_Data_An_Cour!$U:$U,$B273,BV_Data_An_Cour!$V:$V,$C273,BV_Data_An_Cour!$W:$W,$L$2)</f>
        <v>122.69</v>
      </c>
      <c r="M273" s="303"/>
      <c r="N273" s="304">
        <f t="shared" si="135"/>
        <v>122.69</v>
      </c>
      <c r="O273" s="303"/>
      <c r="P273" s="178"/>
      <c r="Q273" s="180">
        <f>SUMIFS(BV_Data_An_Prec!$P:$P,BV_Data_An_Prec!$U:$U,$B273,BV_Data_An_Prec!$V:$V,$C273,BV_Data_An_Prec!$W:$W,$L$2)</f>
        <v>0</v>
      </c>
      <c r="R273" s="303"/>
      <c r="S273" s="199">
        <f t="shared" si="136"/>
        <v>122.69</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original'!$A$8:$A$496=$A274)*('Budget original'!$C$3:$AO$3=F$2),'Budget original'!$C$8:$AO$496)</f>
        <v>0</v>
      </c>
      <c r="G274" s="302"/>
      <c r="H274" s="178"/>
      <c r="I274" s="179">
        <f>+SUMPRODUCT(('Budget révisé'!$A$8:$A$496=$A274)*('Budget révisé'!$C$3:$AO$3=I$2),'Budget révisé'!$C$8:$AO$496)</f>
        <v>0</v>
      </c>
      <c r="J274" s="303"/>
      <c r="K274" s="178"/>
      <c r="L274" s="281">
        <f>SUMIFS(BV_Data_An_Cour!$P:$P,BV_Data_An_Cour!$U:$U,$B274,BV_Data_An_Cour!$V:$V,$C274,BV_Data_An_Cour!$W:$W,$L$2)</f>
        <v>0</v>
      </c>
      <c r="M274" s="303"/>
      <c r="N274" s="304">
        <f t="shared" si="135"/>
        <v>0</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original'!$A$8:$A$496=$A275)*('Budget original'!$C$3:$AO$3=F$2),'Budget original'!$C$8:$AO$496)</f>
        <v>1068.2000000000003</v>
      </c>
      <c r="G275" s="302"/>
      <c r="H275" s="178"/>
      <c r="I275" s="179">
        <f>+SUMPRODUCT(('Budget révisé'!$A$8:$A$496=$A275)*('Budget révisé'!$C$3:$AO$3=I$2),'Budget révisé'!$C$8:$AO$496)</f>
        <v>1068.2000000000003</v>
      </c>
      <c r="J275" s="303"/>
      <c r="K275" s="178"/>
      <c r="L275" s="984">
        <f>SUMIFS(BV_Data_An_Cour!$P:$P,BV_Data_An_Cour!$U:$U,$B275,BV_Data_An_Cour!$V:$V,$C275,BV_Data_An_Cour!$W:$W,$L$2)</f>
        <v>739.37</v>
      </c>
      <c r="M275" s="303"/>
      <c r="N275" s="304">
        <f t="shared" si="135"/>
        <v>-328.83000000000027</v>
      </c>
      <c r="O275" s="303"/>
      <c r="P275" s="178"/>
      <c r="Q275" s="554">
        <f>SUMIFS(BV_Data_An_Prec!$P:$P,BV_Data_An_Prec!$U:$U,$B275,BV_Data_An_Prec!$V:$V,$C275,BV_Data_An_Prec!$W:$W,$L$2)</f>
        <v>906.5</v>
      </c>
      <c r="R275" s="303"/>
      <c r="S275" s="199">
        <f t="shared" si="136"/>
        <v>-167.13</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original'!$A$8:$A$496=$A276)*('Budget original'!$C$3:$AO$3=F$2),'Budget original'!$C$8:$AO$496)</f>
        <v>1243.4589999999998</v>
      </c>
      <c r="G276" s="302"/>
      <c r="H276" s="178"/>
      <c r="I276" s="179">
        <f>+SUMPRODUCT(('Budget révisé'!$A$8:$A$496=$A276)*('Budget révisé'!$C$3:$AO$3=I$2),'Budget révisé'!$C$8:$AO$496)</f>
        <v>1243.4589999999998</v>
      </c>
      <c r="J276" s="303"/>
      <c r="K276" s="178"/>
      <c r="L276" s="281">
        <f>SUMIFS(BV_Data_An_Cour!$P:$P,BV_Data_An_Cour!$U:$U,$B276,BV_Data_An_Cour!$V:$V,$C276,BV_Data_An_Cour!$W:$W,$L$2)</f>
        <v>499.81</v>
      </c>
      <c r="M276" s="303"/>
      <c r="N276" s="304">
        <f t="shared" si="135"/>
        <v>-743.64899999999989</v>
      </c>
      <c r="O276" s="303"/>
      <c r="P276" s="178"/>
      <c r="Q276" s="180">
        <f>SUMIFS(BV_Data_An_Prec!$P:$P,BV_Data_An_Prec!$U:$U,$B276,BV_Data_An_Prec!$V:$V,$C276,BV_Data_An_Prec!$W:$W,$L$2)</f>
        <v>878.12</v>
      </c>
      <c r="R276" s="303"/>
      <c r="S276" s="199">
        <f t="shared" si="136"/>
        <v>-378.31</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original'!$A$8:$A$496=$A277)*('Budget original'!$C$3:$AO$3=F$2),'Budget original'!$C$8:$AO$496)</f>
        <v>423.85</v>
      </c>
      <c r="G277" s="302"/>
      <c r="H277" s="178"/>
      <c r="I277" s="179">
        <f>+SUMPRODUCT(('Budget révisé'!$A$8:$A$496=$A277)*('Budget révisé'!$C$3:$AO$3=I$2),'Budget révisé'!$C$8:$AO$496)</f>
        <v>423.85</v>
      </c>
      <c r="J277" s="303"/>
      <c r="K277" s="178"/>
      <c r="L277" s="281">
        <f>SUMIFS(BV_Data_An_Cour!$P:$P,BV_Data_An_Cour!$U:$U,$B277,BV_Data_An_Cour!$V:$V,$C277,BV_Data_An_Cour!$W:$W,$L$2)</f>
        <v>219.09</v>
      </c>
      <c r="M277" s="303"/>
      <c r="N277" s="304">
        <f t="shared" si="135"/>
        <v>-204.76000000000002</v>
      </c>
      <c r="O277" s="303"/>
      <c r="P277" s="178"/>
      <c r="Q277" s="180">
        <f>SUMIFS(BV_Data_An_Prec!$P:$P,BV_Data_An_Prec!$U:$U,$B277,BV_Data_An_Prec!$V:$V,$C277,BV_Data_An_Prec!$W:$W,$L$2)</f>
        <v>203.89</v>
      </c>
      <c r="R277" s="303"/>
      <c r="S277" s="199">
        <f t="shared" si="136"/>
        <v>15.200000000000017</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original'!$A$8:$A$496=$A278)*('Budget original'!$C$3:$AO$3=F$2),'Budget original'!$C$8:$AO$496)</f>
        <v>1759.5900000000004</v>
      </c>
      <c r="G278" s="302"/>
      <c r="H278" s="178"/>
      <c r="I278" s="179">
        <f>+SUMPRODUCT(('Budget révisé'!$A$8:$A$496=$A278)*('Budget révisé'!$C$3:$AO$3=I$2),'Budget révisé'!$C$8:$AO$496)</f>
        <v>1759.5900000000004</v>
      </c>
      <c r="J278" s="303"/>
      <c r="K278" s="178"/>
      <c r="L278" s="281">
        <f>SUMIFS(BV_Data_An_Cour!$P:$P,BV_Data_An_Cour!$U:$U,$B278,BV_Data_An_Cour!$V:$V,$C278,BV_Data_An_Cour!$W:$W,$L$2)</f>
        <v>1167.9000000000001</v>
      </c>
      <c r="M278" s="303"/>
      <c r="N278" s="304">
        <f t="shared" si="135"/>
        <v>-591.69000000000028</v>
      </c>
      <c r="O278" s="303"/>
      <c r="P278" s="178"/>
      <c r="Q278" s="180">
        <f>SUMIFS(BV_Data_An_Prec!$P:$P,BV_Data_An_Prec!$U:$U,$B278,BV_Data_An_Prec!$V:$V,$C278,BV_Data_An_Prec!$W:$W,$L$2)</f>
        <v>2575.52</v>
      </c>
      <c r="R278" s="303"/>
      <c r="S278" s="199">
        <f t="shared" si="136"/>
        <v>-1407.62</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original'!$A$8:$A$496=$A279)*('Budget original'!$C$3:$AO$3=F$2),'Budget original'!$C$8:$AO$496)</f>
        <v>288.40583333333342</v>
      </c>
      <c r="G279" s="302"/>
      <c r="H279" s="178"/>
      <c r="I279" s="179">
        <f>+SUMPRODUCT(('Budget révisé'!$A$8:$A$496=$A279)*('Budget révisé'!$C$3:$AO$3=I$2),'Budget révisé'!$C$8:$AO$496)</f>
        <v>288.40583333333342</v>
      </c>
      <c r="J279" s="303"/>
      <c r="K279" s="178"/>
      <c r="L279" s="281">
        <f>SUMIFS(BV_Data_An_Cour!$P:$P,BV_Data_An_Cour!$U:$U,$B279,BV_Data_An_Cour!$V:$V,$C279,BV_Data_An_Cour!$W:$W,$L$2)</f>
        <v>113.4</v>
      </c>
      <c r="M279" s="303"/>
      <c r="N279" s="304">
        <f t="shared" si="135"/>
        <v>-175.00583333333341</v>
      </c>
      <c r="O279" s="303"/>
      <c r="P279" s="178"/>
      <c r="Q279" s="180">
        <f>SUMIFS(BV_Data_An_Prec!$P:$P,BV_Data_An_Prec!$U:$U,$B279,BV_Data_An_Prec!$V:$V,$C279,BV_Data_An_Prec!$W:$W,$L$2)</f>
        <v>245</v>
      </c>
      <c r="R279" s="303"/>
      <c r="S279" s="199">
        <f t="shared" si="136"/>
        <v>-131.6</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original'!$A$8:$A$496=$A280)*('Budget original'!$C$3:$AO$3=F$2),'Budget original'!$C$8:$AO$496)</f>
        <v>4016.4566589798992</v>
      </c>
      <c r="G280" s="302"/>
      <c r="H280" s="178"/>
      <c r="I280" s="179">
        <f>+SUMPRODUCT(('Budget révisé'!$A$8:$A$496=$A280)*('Budget révisé'!$C$3:$AO$3=I$2),'Budget révisé'!$C$8:$AO$496)</f>
        <v>4016.4566589798992</v>
      </c>
      <c r="J280" s="303"/>
      <c r="K280" s="178"/>
      <c r="L280" s="281">
        <f>AF447*W6</f>
        <v>1127.2945</v>
      </c>
      <c r="M280" s="303"/>
      <c r="N280" s="304">
        <f t="shared" si="135"/>
        <v>-2889.1621589798992</v>
      </c>
      <c r="O280" s="303"/>
      <c r="P280" s="178"/>
      <c r="Q280" s="180">
        <f>AL447*W6</f>
        <v>1221.4547500000001</v>
      </c>
      <c r="R280" s="303"/>
      <c r="S280" s="199">
        <f t="shared" si="136"/>
        <v>-94.160250000000133</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original'!$A$8:$A$496=$A281)*('Budget original'!$C$3:$AO$3=F$2),'Budget original'!$C$8:$AO$496)</f>
        <v>0</v>
      </c>
      <c r="G281" s="302"/>
      <c r="H281" s="178"/>
      <c r="I281" s="179">
        <f>+SUMPRODUCT(('Budget révisé'!$A$8:$A$496=$A281)*('Budget révisé'!$C$3:$AO$3=I$2),'Budget révisé'!$C$8:$AO$496)</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original'!$A$8:$A$496=$A282)*('Budget original'!$C$3:$AO$3=F$2),'Budget original'!$C$8:$AO$496)</f>
        <v>0</v>
      </c>
      <c r="G282" s="302"/>
      <c r="H282" s="178"/>
      <c r="I282" s="179">
        <f>+SUMPRODUCT(('Budget révisé'!$A$8:$A$496=$A282)*('Budget révisé'!$C$3:$AO$3=I$2),'Budget révisé'!$C$8:$AO$496)</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original'!$A$8:$A$496=$A283)*('Budget original'!$C$3:$AO$3=F$2),'Budget original'!$C$8:$AO$496)</f>
        <v>0</v>
      </c>
      <c r="G283" s="302"/>
      <c r="H283" s="178"/>
      <c r="I283" s="179">
        <f>+SUMPRODUCT(('Budget révisé'!$A$8:$A$496=$A283)*('Budget révisé'!$C$3:$AO$3=I$2),'Budget révisé'!$C$8:$AO$496)</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38437.194290132218</v>
      </c>
      <c r="G284" s="42" t="s">
        <v>111</v>
      </c>
      <c r="H284" s="40" t="e">
        <f>I284/I$243</f>
        <v>#DIV/0!</v>
      </c>
      <c r="I284" s="41">
        <f>+SUM(I266:I283)</f>
        <v>38437.194290132218</v>
      </c>
      <c r="J284" s="42" t="s">
        <v>111</v>
      </c>
      <c r="K284" s="40" t="e">
        <f>IF(L261=0,0,L284/L$243)</f>
        <v>#DIV/0!</v>
      </c>
      <c r="L284" s="41">
        <f>+SUM(L266:L283)</f>
        <v>22925.534500000002</v>
      </c>
      <c r="M284" s="44"/>
      <c r="N284" s="41">
        <f>+SUM(N266:N283)</f>
        <v>-15511.659790132218</v>
      </c>
      <c r="O284" s="42" t="s">
        <v>111</v>
      </c>
      <c r="P284" s="40" t="e">
        <f>IF(Q261=0,0,Q284/Q$243)</f>
        <v>#DIV/0!</v>
      </c>
      <c r="Q284" s="41">
        <f>+SUM(Q266:Q283)</f>
        <v>45436.484749999996</v>
      </c>
      <c r="R284" s="44"/>
      <c r="S284" s="316">
        <f t="shared" si="136"/>
        <v>-22510.950249999994</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111491.87440596326</v>
      </c>
      <c r="G286" s="42" t="s">
        <v>111</v>
      </c>
      <c r="H286" s="40" t="e">
        <f>I286/I$243</f>
        <v>#DIV/0!</v>
      </c>
      <c r="I286" s="41">
        <f>I265+I284</f>
        <v>111491.87440596326</v>
      </c>
      <c r="J286" s="42" t="s">
        <v>111</v>
      </c>
      <c r="K286" s="40" t="e">
        <f>IF(L263=0,0,L286/L$243)</f>
        <v>#DIV/0!</v>
      </c>
      <c r="L286" s="41">
        <f>L265+L284</f>
        <v>89809.044499999989</v>
      </c>
      <c r="M286" s="44"/>
      <c r="N286" s="46">
        <f t="shared" ref="N286:N288" si="143">L286-I286</f>
        <v>-21682.82990596327</v>
      </c>
      <c r="O286" s="42" t="s">
        <v>111</v>
      </c>
      <c r="P286" s="40" t="e">
        <f>IF(Q263=0,0,Q286/Q$243)</f>
        <v>#DIV/0!</v>
      </c>
      <c r="Q286" s="41">
        <f>Q265+Q284</f>
        <v>156505.21474999998</v>
      </c>
      <c r="R286" s="44"/>
      <c r="S286" s="299">
        <f>L286-Q286</f>
        <v>-66696.170249999996</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25969.833457818284</v>
      </c>
      <c r="G288" s="344"/>
      <c r="H288" s="342"/>
      <c r="I288" s="343">
        <f>I249-I286</f>
        <v>25969.833457818284</v>
      </c>
      <c r="J288" s="345"/>
      <c r="K288" s="346"/>
      <c r="L288" s="343">
        <f>L249-L286</f>
        <v>31447.205499999967</v>
      </c>
      <c r="M288" s="345"/>
      <c r="N288" s="343">
        <f t="shared" si="143"/>
        <v>5477.3720421816834</v>
      </c>
      <c r="O288" s="345"/>
      <c r="P288" s="346"/>
      <c r="Q288" s="343">
        <f>Q249-Q286</f>
        <v>23612.435250000155</v>
      </c>
      <c r="R288" s="345"/>
      <c r="S288" s="347">
        <f>L288-Q288</f>
        <v>7834.7702499998122</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AAD, Juillet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61" t="s">
        <v>77</v>
      </c>
      <c r="E292" s="1162"/>
      <c r="F292" s="1163"/>
      <c r="G292" s="1164" t="s">
        <v>145</v>
      </c>
      <c r="H292" s="1162"/>
      <c r="I292" s="1163"/>
      <c r="J292" s="1164" t="s">
        <v>79</v>
      </c>
      <c r="K292" s="1162"/>
      <c r="L292" s="1163"/>
      <c r="M292" s="1164" t="s">
        <v>80</v>
      </c>
      <c r="N292" s="1163"/>
      <c r="O292" s="1161" t="s">
        <v>81</v>
      </c>
      <c r="P292" s="1162"/>
      <c r="Q292" s="1163"/>
      <c r="R292" s="1164" t="s">
        <v>82</v>
      </c>
      <c r="S292" s="1165"/>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original'!$A$8:$A$496=$A294)*('Budget original'!$C$3:$AO$3=D$2),'Budget original'!$C$8:$AO$496)</f>
        <v>472655.74613700912</v>
      </c>
      <c r="E294" s="210">
        <f>IF(D294=0,0,F294/D294)</f>
        <v>0.3581271756476892</v>
      </c>
      <c r="F294" s="199">
        <f>+SUMPRODUCT(('Budget original'!$A$8:$A$496=$A294)*('Budget original'!$C$3:$AO$3=F$2),'Budget original'!$C$8:$AO$496)</f>
        <v>169270.86741769826</v>
      </c>
      <c r="G294" s="197">
        <f>+SUMPRODUCT(('Budget révisé'!$A$8:$A$496=$A294)*('Budget révisé'!$C$3:$AO$3=G$2),'Budget révisé'!$C$8:$AO$496)</f>
        <v>472655.74613700912</v>
      </c>
      <c r="H294" s="210">
        <f>IF(G294=0,0,I294/G294)</f>
        <v>0.3581271756476892</v>
      </c>
      <c r="I294" s="199">
        <f>+SUMPRODUCT(('Budget révisé'!$A$8:$A$496=$A294)*('Budget révisé'!$C$3:$AO$3=I$2),'Budget révisé'!$C$8:$AO$496)</f>
        <v>169270.86741769826</v>
      </c>
      <c r="J294" s="179">
        <f>-SUMIFS(BV_Data_An_Cour!$P:$P,BV_Data_An_Cour!$X:$X,"Oui",BV_Data_An_Cour!$U:$U,$B294,BV_Data_An_Cour!$V:$V,$C294)</f>
        <v>427721.63</v>
      </c>
      <c r="K294" s="210">
        <f t="shared" ref="K294:K303" si="145">IF(J294&lt;=0,0,L294/J294)</f>
        <v>0.35583014588249839</v>
      </c>
      <c r="L294" s="180">
        <f>-SUMIFS(BV_Data_An_Cour!$P:$P,BV_Data_An_Cour!$U:$U,$B294,BV_Data_An_Cour!$V:$V,$C294,BV_Data_An_Cour!$W:$W,$L$2)</f>
        <v>152196.25</v>
      </c>
      <c r="M294" s="324">
        <f t="shared" ref="M294:M299" si="146">(+J294-G294)/G294</f>
        <v>-9.5067322262033863E-2</v>
      </c>
      <c r="N294" s="304">
        <f t="shared" ref="N294:N303" si="147">L294-I294</f>
        <v>-17074.61741769826</v>
      </c>
      <c r="O294" s="179">
        <f>-SUMIFS(BV_Data_An_Prec!$P:$P,BV_Data_An_Prec!$X:$X,"Oui",BV_Data_An_Prec!$U:$U,$B294,BV_Data_An_Prec!$V:$V,$C294)</f>
        <v>493055.04</v>
      </c>
      <c r="P294" s="210">
        <f t="shared" ref="P294:P303" si="148">IF(O294&lt;=0,0,Q294/O294)</f>
        <v>0.32007027045094194</v>
      </c>
      <c r="Q294" s="180">
        <f>-SUMIFS(BV_Data_An_Prec!$P:$P,BV_Data_An_Prec!$U:$U,$B294,BV_Data_An_Prec!$V:$V,$C294,BV_Data_An_Prec!$W:$W,$L$2)</f>
        <v>157812.25999999998</v>
      </c>
      <c r="R294" s="324">
        <f>IF(O294=0,0,(J294-O294)/O294)</f>
        <v>-0.13250733630062878</v>
      </c>
      <c r="S294" s="199">
        <f t="shared" ref="S294:S303" si="149">L294-Q294</f>
        <v>-5616.0099999999802</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original'!$A$8:$A$496=$A295)*('Budget original'!$C$3:$AO$3=D$2),'Budget original'!$C$8:$AO$496)</f>
        <v>319441.86002046737</v>
      </c>
      <c r="E295" s="210">
        <f t="shared" ref="E295:E302" si="150">IF(D295=0,0,F295/D295)</f>
        <v>0.27367264200070929</v>
      </c>
      <c r="F295" s="199">
        <f>+SUMPRODUCT(('Budget original'!$A$8:$A$496=$A295)*('Budget original'!$C$3:$AO$3=F$2),'Budget original'!$C$8:$AO$496)</f>
        <v>87422.497797422053</v>
      </c>
      <c r="G295" s="197">
        <f>+SUMPRODUCT(('Budget révisé'!$A$8:$A$496=$A295)*('Budget révisé'!$C$3:$AO$3=G$2),'Budget révisé'!$C$8:$AO$496)</f>
        <v>319441.86002046737</v>
      </c>
      <c r="H295" s="210">
        <f t="shared" ref="H295:H302" si="151">IF(G295=0,0,I295/G295)</f>
        <v>0.27367264200070929</v>
      </c>
      <c r="I295" s="199">
        <f>+SUMPRODUCT(('Budget révisé'!$A$8:$A$496=$A295)*('Budget révisé'!$C$3:$AO$3=I$2),'Budget révisé'!$C$8:$AO$496)</f>
        <v>87422.497797422053</v>
      </c>
      <c r="J295" s="179">
        <f>-SUMIFS(BV_Data_An_Cour!$P:$P,BV_Data_An_Cour!$X:$X,"Oui",BV_Data_An_Cour!$U:$U,$B295,BV_Data_An_Cour!$V:$V,$C295)</f>
        <v>293791.24</v>
      </c>
      <c r="K295" s="210">
        <f t="shared" si="145"/>
        <v>0.24992515093370374</v>
      </c>
      <c r="L295" s="180">
        <f>-SUMIFS(BV_Data_An_Cour!$P:$P,BV_Data_An_Cour!$U:$U,$B295,BV_Data_An_Cour!$V:$V,$C295,BV_Data_An_Cour!$W:$W,$L$2)</f>
        <v>73425.819999999978</v>
      </c>
      <c r="M295" s="324">
        <f t="shared" si="146"/>
        <v>-8.0298242750101334E-2</v>
      </c>
      <c r="N295" s="304">
        <f t="shared" si="147"/>
        <v>-13996.677797422075</v>
      </c>
      <c r="O295" s="179">
        <f>-SUMIFS(BV_Data_An_Prec!$P:$P,BV_Data_An_Prec!$X:$X,"Oui",BV_Data_An_Prec!$U:$U,$B295,BV_Data_An_Prec!$V:$V,$C295)</f>
        <v>454539.95</v>
      </c>
      <c r="P295" s="210">
        <f t="shared" si="148"/>
        <v>0.26125373578274041</v>
      </c>
      <c r="Q295" s="180">
        <f>-SUMIFS(BV_Data_An_Prec!$P:$P,BV_Data_An_Prec!$U:$U,$B295,BV_Data_An_Prec!$V:$V,$C295,BV_Data_An_Prec!$W:$W,$L$2)</f>
        <v>118750.26000000005</v>
      </c>
      <c r="R295" s="324">
        <f t="shared" ref="R295:R302" si="152">IF(O295=0,0,(J295-O295)/O295)</f>
        <v>-0.35365144471899557</v>
      </c>
      <c r="S295" s="199">
        <f t="shared" si="149"/>
        <v>-45324.440000000075</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original'!$A$8:$A$496=$A296)*('Budget original'!$C$3:$AO$3=D$2),'Budget original'!$C$8:$AO$496)</f>
        <v>550600.99835402111</v>
      </c>
      <c r="E296" s="210">
        <f t="shared" si="150"/>
        <v>0.23983607715678656</v>
      </c>
      <c r="F296" s="199">
        <f>+SUMPRODUCT(('Budget original'!$A$8:$A$496=$A296)*('Budget original'!$C$3:$AO$3=F$2),'Budget original'!$C$8:$AO$496)</f>
        <v>132053.98352383872</v>
      </c>
      <c r="G296" s="197">
        <f>+SUMPRODUCT(('Budget révisé'!$A$8:$A$496=$A296)*('Budget révisé'!$C$3:$AO$3=G$2),'Budget révisé'!$C$8:$AO$496)</f>
        <v>550600.99835402111</v>
      </c>
      <c r="H296" s="210">
        <f t="shared" si="151"/>
        <v>0.23983607715678656</v>
      </c>
      <c r="I296" s="199">
        <f>+SUMPRODUCT(('Budget révisé'!$A$8:$A$496=$A296)*('Budget révisé'!$C$3:$AO$3=I$2),'Budget révisé'!$C$8:$AO$496)</f>
        <v>132053.98352383872</v>
      </c>
      <c r="J296" s="179">
        <f>-SUMIFS(BV_Data_An_Cour!$P:$P,BV_Data_An_Cour!$X:$X,"Oui",BV_Data_An_Cour!$U:$U,$B296,BV_Data_An_Cour!$V:$V,$C296)</f>
        <v>534681.80000000005</v>
      </c>
      <c r="K296" s="210">
        <f t="shared" si="145"/>
        <v>0.23804344939363944</v>
      </c>
      <c r="L296" s="180">
        <f>-SUMIFS(BV_Data_An_Cour!$P:$P,BV_Data_An_Cour!$U:$U,$B296,BV_Data_An_Cour!$V:$V,$C296,BV_Data_An_Cour!$W:$W,$L$2)</f>
        <v>127277.50000000006</v>
      </c>
      <c r="M296" s="324">
        <f t="shared" si="146"/>
        <v>-2.8912403721769977E-2</v>
      </c>
      <c r="N296" s="304">
        <f t="shared" si="147"/>
        <v>-4776.4835238386586</v>
      </c>
      <c r="O296" s="179">
        <f>-SUMIFS(BV_Data_An_Prec!$P:$P,BV_Data_An_Prec!$X:$X,"Oui",BV_Data_An_Prec!$U:$U,$B296,BV_Data_An_Prec!$V:$V,$C296)</f>
        <v>601495.35</v>
      </c>
      <c r="P296" s="210">
        <f t="shared" si="148"/>
        <v>0.24281644072560157</v>
      </c>
      <c r="Q296" s="180">
        <f>-SUMIFS(BV_Data_An_Prec!$P:$P,BV_Data_An_Prec!$U:$U,$B296,BV_Data_An_Prec!$V:$V,$C296,BV_Data_An_Prec!$W:$W,$L$2)</f>
        <v>146052.95999999996</v>
      </c>
      <c r="R296" s="324">
        <f t="shared" si="152"/>
        <v>-0.11107907982996033</v>
      </c>
      <c r="S296" s="199">
        <f t="shared" si="149"/>
        <v>-18775.459999999905</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original'!$A$8:$A$496=$A297)*('Budget original'!$C$3:$AO$3=D$2),'Budget original'!$C$8:$AO$496)</f>
        <v>349661.85436394607</v>
      </c>
      <c r="E297" s="210">
        <f t="shared" si="150"/>
        <v>0.32994466198333777</v>
      </c>
      <c r="F297" s="199">
        <f>+SUMPRODUCT(('Budget original'!$A$8:$A$496=$A297)*('Budget original'!$C$3:$AO$3=F$2),'Budget original'!$C$8:$AO$496)</f>
        <v>115369.06234657926</v>
      </c>
      <c r="G297" s="197">
        <f>+SUMPRODUCT(('Budget révisé'!$A$8:$A$496=$A297)*('Budget révisé'!$C$3:$AO$3=G$2),'Budget révisé'!$C$8:$AO$496)</f>
        <v>349661.85436394607</v>
      </c>
      <c r="H297" s="210">
        <f t="shared" si="151"/>
        <v>0.32994466198333777</v>
      </c>
      <c r="I297" s="199">
        <f>+SUMPRODUCT(('Budget révisé'!$A$8:$A$496=$A297)*('Budget révisé'!$C$3:$AO$3=I$2),'Budget révisé'!$C$8:$AO$496)</f>
        <v>115369.06234657926</v>
      </c>
      <c r="J297" s="179">
        <f>-SUMIFS(BV_Data_An_Cour!$P:$P,BV_Data_An_Cour!$X:$X,"Oui",BV_Data_An_Cour!$U:$U,$B297,BV_Data_An_Cour!$V:$V,$C297)</f>
        <v>340656.56</v>
      </c>
      <c r="K297" s="210">
        <f t="shared" si="145"/>
        <v>0.32035026714295473</v>
      </c>
      <c r="L297" s="180">
        <f>-SUMIFS(BV_Data_An_Cour!$P:$P,BV_Data_An_Cour!$U:$U,$B297,BV_Data_An_Cour!$V:$V,$C297,BV_Data_An_Cour!$W:$W,$L$2)</f>
        <v>109129.41999999998</v>
      </c>
      <c r="M297" s="324">
        <f t="shared" si="146"/>
        <v>-2.5754294474949781E-2</v>
      </c>
      <c r="N297" s="304">
        <f t="shared" si="147"/>
        <v>-6239.6423465792759</v>
      </c>
      <c r="O297" s="179">
        <f>-SUMIFS(BV_Data_An_Prec!$P:$P,BV_Data_An_Prec!$X:$X,"Oui",BV_Data_An_Prec!$U:$U,$B297,BV_Data_An_Prec!$V:$V,$C297)</f>
        <v>305769.39</v>
      </c>
      <c r="P297" s="210">
        <f t="shared" si="148"/>
        <v>0.31672091179565104</v>
      </c>
      <c r="Q297" s="180">
        <f>-SUMIFS(BV_Data_An_Prec!$P:$P,BV_Data_An_Prec!$U:$U,$B297,BV_Data_An_Prec!$V:$V,$C297,BV_Data_An_Prec!$W:$W,$L$2)</f>
        <v>96843.560000000027</v>
      </c>
      <c r="R297" s="324">
        <f t="shared" si="152"/>
        <v>0.11409634561523631</v>
      </c>
      <c r="S297" s="199">
        <f t="shared" si="149"/>
        <v>12285.859999999957</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original'!$A$8:$A$496=$A298)*('Budget original'!$C$3:$AO$3=D$2),'Budget original'!$C$8:$AO$496)</f>
        <v>84468.350324409461</v>
      </c>
      <c r="E298" s="210">
        <f t="shared" si="150"/>
        <v>0.29678579936093846</v>
      </c>
      <c r="F298" s="199">
        <f>+SUMPRODUCT(('Budget original'!$A$8:$A$496=$A298)*('Budget original'!$C$3:$AO$3=F$2),'Budget original'!$C$8:$AO$496)</f>
        <v>25069.006871729645</v>
      </c>
      <c r="G298" s="197">
        <f>+SUMPRODUCT(('Budget révisé'!$A$8:$A$496=$A298)*('Budget révisé'!$C$3:$AO$3=G$2),'Budget révisé'!$C$8:$AO$496)</f>
        <v>84468.350324409461</v>
      </c>
      <c r="H298" s="210">
        <f t="shared" si="151"/>
        <v>0.29678579936093846</v>
      </c>
      <c r="I298" s="199">
        <f>+SUMPRODUCT(('Budget révisé'!$A$8:$A$496=$A298)*('Budget révisé'!$C$3:$AO$3=I$2),'Budget révisé'!$C$8:$AO$496)</f>
        <v>25069.006871729645</v>
      </c>
      <c r="J298" s="179">
        <f>-SUMIFS(BV_Data_An_Cour!$P:$P,BV_Data_An_Cour!$X:$X,"Oui",BV_Data_An_Cour!$U:$U,$B298,BV_Data_An_Cour!$V:$V,$C298)</f>
        <v>105227.52</v>
      </c>
      <c r="K298" s="210">
        <f t="shared" si="145"/>
        <v>0.27921507605614959</v>
      </c>
      <c r="L298" s="180">
        <f>-SUMIFS(BV_Data_An_Cour!$P:$P,BV_Data_An_Cour!$U:$U,$B298,BV_Data_An_Cour!$V:$V,$C298,BV_Data_An_Cour!$W:$W,$L$2)</f>
        <v>29381.11</v>
      </c>
      <c r="M298" s="324">
        <f t="shared" si="146"/>
        <v>0.24576269805036796</v>
      </c>
      <c r="N298" s="304">
        <f t="shared" si="147"/>
        <v>4312.1031282703552</v>
      </c>
      <c r="O298" s="179">
        <f>-SUMIFS(BV_Data_An_Prec!$P:$P,BV_Data_An_Prec!$X:$X,"Oui",BV_Data_An_Prec!$U:$U,$B298,BV_Data_An_Prec!$V:$V,$C298)</f>
        <v>86978.16</v>
      </c>
      <c r="P298" s="210">
        <f t="shared" si="148"/>
        <v>0.29880087139116301</v>
      </c>
      <c r="Q298" s="180">
        <f>-SUMIFS(BV_Data_An_Prec!$P:$P,BV_Data_An_Prec!$U:$U,$B298,BV_Data_An_Prec!$V:$V,$C298,BV_Data_An_Prec!$W:$W,$L$2)</f>
        <v>25989.15</v>
      </c>
      <c r="R298" s="324">
        <f t="shared" si="152"/>
        <v>0.20981542952851612</v>
      </c>
      <c r="S298" s="199">
        <f t="shared" si="149"/>
        <v>3391.9599999999991</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original'!$A$8:$A$496=$A299)*('Budget original'!$C$3:$AO$3=D$2),'Budget original'!$C$8:$AO$496)</f>
        <v>376934.86647356796</v>
      </c>
      <c r="E299" s="210">
        <f t="shared" si="150"/>
        <v>0.19081606757663097</v>
      </c>
      <c r="F299" s="199">
        <f>+SUMPRODUCT(('Budget original'!$A$8:$A$496=$A299)*('Budget original'!$C$3:$AO$3=F$2),'Budget original'!$C$8:$AO$496)</f>
        <v>71925.228953008715</v>
      </c>
      <c r="G299" s="197">
        <f>+SUMPRODUCT(('Budget révisé'!$A$8:$A$496=$A299)*('Budget révisé'!$C$3:$AO$3=G$2),'Budget révisé'!$C$8:$AO$496)</f>
        <v>376934.86647356796</v>
      </c>
      <c r="H299" s="210">
        <f t="shared" si="151"/>
        <v>0.19081606757663097</v>
      </c>
      <c r="I299" s="199">
        <f>+SUMPRODUCT(('Budget révisé'!$A$8:$A$496=$A299)*('Budget révisé'!$C$3:$AO$3=I$2),'Budget révisé'!$C$8:$AO$496)</f>
        <v>71925.228953008715</v>
      </c>
      <c r="J299" s="179">
        <f>-SUMIFS(BV_Data_An_Cour!$P:$P,BV_Data_An_Cour!$X:$X,"Oui",BV_Data_An_Cour!$U:$U,$B299,BV_Data_An_Cour!$V:$V,$C299)</f>
        <v>303623.69</v>
      </c>
      <c r="K299" s="210">
        <f t="shared" si="145"/>
        <v>0.1871393500289783</v>
      </c>
      <c r="L299" s="180">
        <f>-SUMIFS(BV_Data_An_Cour!$P:$P,BV_Data_An_Cour!$U:$U,$B299,BV_Data_An_Cour!$V:$V,$C299,BV_Data_An_Cour!$W:$W,$L$2)</f>
        <v>56819.94</v>
      </c>
      <c r="M299" s="324">
        <f t="shared" si="146"/>
        <v>-0.19449295619541421</v>
      </c>
      <c r="N299" s="304">
        <f t="shared" si="147"/>
        <v>-15105.288953008712</v>
      </c>
      <c r="O299" s="179">
        <f>-SUMIFS(BV_Data_An_Prec!$P:$P,BV_Data_An_Prec!$X:$X,"Oui",BV_Data_An_Prec!$U:$U,$B299,BV_Data_An_Prec!$V:$V,$C299)</f>
        <v>346085.93</v>
      </c>
      <c r="P299" s="210">
        <f t="shared" si="148"/>
        <v>0.18928180639993086</v>
      </c>
      <c r="Q299" s="180">
        <f>-SUMIFS(BV_Data_An_Prec!$P:$P,BV_Data_An_Prec!$U:$U,$B299,BV_Data_An_Prec!$V:$V,$C299,BV_Data_An_Prec!$W:$W,$L$2)</f>
        <v>65507.770000000019</v>
      </c>
      <c r="R299" s="324">
        <f t="shared" si="152"/>
        <v>-0.1226927659266587</v>
      </c>
      <c r="S299" s="199">
        <f t="shared" si="149"/>
        <v>-8687.8300000000163</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original'!$A$8:$A$496=$A300)*('Budget original'!$C$3:$AO$3=D$2),'Budget original'!$C$8:$AO$496)</f>
        <v>0</v>
      </c>
      <c r="E300" s="210">
        <f t="shared" ref="E300" si="154">IF(D300=0,0,F300/D300)</f>
        <v>0</v>
      </c>
      <c r="F300" s="199">
        <f>+SUMPRODUCT(('Budget original'!$A$8:$A$496=$A300)*('Budget original'!$C$3:$AO$3=F$2),'Budget original'!$C$8:$AO$496)</f>
        <v>0</v>
      </c>
      <c r="G300" s="197">
        <f>+SUMPRODUCT(('Budget révisé'!$A$8:$A$496=$A300)*('Budget révisé'!$C$3:$AO$3=G$2),'Budget révisé'!$C$8:$AO$496)</f>
        <v>0</v>
      </c>
      <c r="H300" s="210">
        <f t="shared" ref="H300" si="155">IF(G300=0,0,I300/G300)</f>
        <v>0</v>
      </c>
      <c r="I300" s="199">
        <f>+SUMPRODUCT(('Budget révisé'!$A$8:$A$496=$A300)*('Budget révisé'!$C$3:$AO$3=I$2),'Budget révisé'!$C$8:$AO$496)</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original'!$A$8:$A$496=$A301)*('Budget original'!$C$3:$AO$3=D$2),'Budget original'!$C$8:$AO$496)</f>
        <v>0</v>
      </c>
      <c r="E301" s="210">
        <f t="shared" si="150"/>
        <v>0</v>
      </c>
      <c r="F301" s="199">
        <f>+SUMPRODUCT(('Budget original'!$A$8:$A$496=$A301)*('Budget original'!$C$3:$AO$3=F$2),'Budget original'!$C$8:$AO$496)</f>
        <v>68279.275967038848</v>
      </c>
      <c r="G301" s="197">
        <f>+SUMPRODUCT(('Budget révisé'!$A$8:$A$496=$A301)*('Budget révisé'!$C$3:$AO$3=G$2),'Budget révisé'!$C$8:$AO$496)</f>
        <v>0</v>
      </c>
      <c r="H301" s="210">
        <f t="shared" si="151"/>
        <v>0</v>
      </c>
      <c r="I301" s="199">
        <f>+SUMPRODUCT(('Budget révisé'!$A$8:$A$496=$A301)*('Budget révisé'!$C$3:$AO$3=I$2),'Budget révisé'!$C$8:$AO$496)</f>
        <v>68279.275967038848</v>
      </c>
      <c r="J301" s="179">
        <f>-SUMIFS(BV_Data_An_Cour!$P:$P,BV_Data_An_Cour!$X:$X,"Oui",BV_Data_An_Cour!$U:$U,$B301,BV_Data_An_Cour!$V:$V,$C301)</f>
        <v>0</v>
      </c>
      <c r="K301" s="210">
        <f t="shared" si="145"/>
        <v>0</v>
      </c>
      <c r="L301" s="180">
        <f>-SUMIFS(BV_Data_An_Cour!$P:$P,BV_Data_An_Cour!$U:$U,$B301,BV_Data_An_Cour!$V:$V,$C301,BV_Data_An_Cour!$W:$W,$L$2)</f>
        <v>46449.65</v>
      </c>
      <c r="M301" s="324"/>
      <c r="N301" s="304">
        <f t="shared" si="147"/>
        <v>-21829.625967038846</v>
      </c>
      <c r="O301" s="179">
        <f>-SUMIFS(BV_Data_An_Prec!$P:$P,BV_Data_An_Prec!$X:$X,"Oui",BV_Data_An_Prec!$U:$U,$B301,BV_Data_An_Prec!$V:$V,$C301)</f>
        <v>0</v>
      </c>
      <c r="P301" s="210">
        <f t="shared" si="148"/>
        <v>0</v>
      </c>
      <c r="Q301" s="180">
        <f>-SUMIFS(BV_Data_An_Prec!$P:$P,BV_Data_An_Prec!$U:$U,$B301,BV_Data_An_Prec!$V:$V,$C301,BV_Data_An_Prec!$W:$W,$L$2)</f>
        <v>90647.99</v>
      </c>
      <c r="R301" s="324">
        <f t="shared" si="152"/>
        <v>0</v>
      </c>
      <c r="S301" s="199">
        <f t="shared" si="149"/>
        <v>-44198.340000000004</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original'!$A$8:$A$496=$A302)*('Budget original'!$C$3:$AO$3=D$2),'Budget original'!$C$8:$AO$496)</f>
        <v>0</v>
      </c>
      <c r="E302" s="210">
        <f t="shared" si="150"/>
        <v>0</v>
      </c>
      <c r="F302" s="199">
        <f>+SUMPRODUCT(('Budget original'!$A$8:$A$496=$A302)*('Budget original'!$C$3:$AO$3=F$2),'Budget original'!$C$8:$AO$496)</f>
        <v>700</v>
      </c>
      <c r="G302" s="197">
        <f>+SUMPRODUCT(('Budget révisé'!$A$8:$A$496=$A302)*('Budget révisé'!$C$3:$AO$3=G$2),'Budget révisé'!$C$8:$AO$496)</f>
        <v>0</v>
      </c>
      <c r="H302" s="210">
        <f t="shared" si="151"/>
        <v>0</v>
      </c>
      <c r="I302" s="199">
        <f>+SUMPRODUCT(('Budget révisé'!$A$8:$A$496=$A302)*('Budget révisé'!$C$3:$AO$3=I$2),'Budget révisé'!$C$8:$AO$496)</f>
        <v>700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-700</v>
      </c>
      <c r="O302" s="179">
        <f>-SUMIFS(BV_Data_An_Prec!$P:$P,BV_Data_An_Prec!$X:$X,"Oui",BV_Data_An_Prec!$U:$U,$B302,BV_Data_An_Prec!$V:$V,$C302)</f>
        <v>0</v>
      </c>
      <c r="P302" s="210">
        <f t="shared" si="148"/>
        <v>0</v>
      </c>
      <c r="Q302" s="180">
        <f>-SUMIFS(BV_Data_An_Prec!$P:$P,BV_Data_An_Prec!$U:$U,$B302,BV_Data_An_Prec!$V:$V,$C302,BV_Data_An_Prec!$W:$W,$L$2)</f>
        <v>0</v>
      </c>
      <c r="R302" s="324">
        <f t="shared" si="152"/>
        <v>0</v>
      </c>
      <c r="S302" s="199">
        <f t="shared" si="149"/>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2153763.675673421</v>
      </c>
      <c r="E303" s="328">
        <f>IF(D303&lt;=0,0,F303/D303)</f>
        <v>0.31112509252798937</v>
      </c>
      <c r="F303" s="200">
        <f>SUM(F294:F302)</f>
        <v>670089.92287731555</v>
      </c>
      <c r="G303" s="198">
        <f>SUM(G294:G302)</f>
        <v>2153763.675673421</v>
      </c>
      <c r="H303" s="328">
        <f>IF(G303&lt;=0,0,I303/G303)</f>
        <v>0.31112509252798937</v>
      </c>
      <c r="I303" s="200">
        <f>SUM(I294:I302)</f>
        <v>670089.92287731555</v>
      </c>
      <c r="J303" s="198">
        <f>SUM(J294:J302)</f>
        <v>2005702.44</v>
      </c>
      <c r="K303" s="328">
        <f t="shared" si="145"/>
        <v>0.29649447402576828</v>
      </c>
      <c r="L303" s="329">
        <f>SUM(L294:L302)</f>
        <v>594679.69000000006</v>
      </c>
      <c r="M303" s="330">
        <f>(+J303-G303)/G303</f>
        <v>-6.8745349058376384E-2</v>
      </c>
      <c r="N303" s="329">
        <f t="shared" si="147"/>
        <v>-75410.232877315488</v>
      </c>
      <c r="O303" s="198">
        <f>SUM(O294:O302)</f>
        <v>2287923.8199999998</v>
      </c>
      <c r="P303" s="328">
        <f t="shared" si="148"/>
        <v>0.30665529326933627</v>
      </c>
      <c r="Q303" s="329">
        <f>SUM(Q294:Q302)</f>
        <v>701603.95000000007</v>
      </c>
      <c r="R303" s="330">
        <f>IF(O303=0,0,(J303-O303)/O303)</f>
        <v>-0.12335261232605196</v>
      </c>
      <c r="S303" s="200">
        <f t="shared" si="149"/>
        <v>-106924.26000000001</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-0.11253748236282922</v>
      </c>
      <c r="O304" s="303"/>
      <c r="P304" s="178"/>
      <c r="Q304" s="312"/>
      <c r="R304" s="303"/>
      <c r="S304" s="333">
        <f>IF(Q303=0,0,S303/Q303)</f>
        <v>-0.15239974062289702</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2935</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original'!$A$8:$A$496=$A306)*('Budget original'!$C$3:$AO$3=D$2),'Budget original'!$C$8:$AO$496)</f>
        <v>216258.51207049389</v>
      </c>
      <c r="E306" s="210">
        <f t="shared" ref="E306:E307" si="162">IF(D306=0,0,F306/D306)</f>
        <v>0.19500000000000003</v>
      </c>
      <c r="F306" s="201">
        <f>+SUMPRODUCT(('Budget original'!$A$8:$A$496=$A306)*('Budget original'!$C$3:$AO$3=F$2),'Budget original'!$C$8:$AO$496)</f>
        <v>42170.409853746314</v>
      </c>
      <c r="G306" s="197">
        <f>+SUMPRODUCT(('Budget révisé'!$A$8:$A$496=$A306)*('Budget révisé'!$C$3:$AO$3=G$2),'Budget révisé'!$C$8:$AO$496)</f>
        <v>216258.51207049389</v>
      </c>
      <c r="H306" s="210">
        <f t="shared" ref="H306:H307" si="163">IF(G306=0,0,I306/G306)</f>
        <v>0.19500000000000003</v>
      </c>
      <c r="I306" s="201">
        <f>+SUMPRODUCT(('Budget révisé'!$A$8:$A$496=$A306)*('Budget révisé'!$C$3:$AO$3=I$2),'Budget révisé'!$C$8:$AO$496)</f>
        <v>42170.409853746314</v>
      </c>
      <c r="J306" s="179">
        <f>-SUMIFS(BV_Data_An_Cour!$P:$P,BV_Data_An_Cour!$X:$X,"Oui",BV_Data_An_Cour!$U:$U,$B306,BV_Data_An_Cour!$V:$V,$C306)</f>
        <v>208078.84</v>
      </c>
      <c r="K306" s="210">
        <f t="shared" ref="K306:K308" si="164">IF(J306&lt;=0,0,L306/J306)</f>
        <v>0.16864396206745474</v>
      </c>
      <c r="L306" s="180">
        <f>-SUMIFS(BV_Data_An_Cour!$P:$P,BV_Data_An_Cour!$U:$U,$B306,BV_Data_An_Cour!$V:$V,$C306,BV_Data_An_Cour!$W:$W,$L$2)</f>
        <v>35091.239999999983</v>
      </c>
      <c r="M306" s="324">
        <f t="shared" ref="M306:M308" si="165">(+J306-G306)/G306</f>
        <v>-3.7823584339781093E-2</v>
      </c>
      <c r="N306" s="304">
        <f t="shared" ref="N306:N308" si="166">L306-I306</f>
        <v>-7079.1698537463308</v>
      </c>
      <c r="O306" s="179">
        <f>-SUMIFS(BV_Data_An_Prec!$P:$P,BV_Data_An_Prec!$X:$X,"Oui",BV_Data_An_Prec!$U:$U,$B306,BV_Data_An_Prec!$V:$V,$C306)</f>
        <v>204814.05</v>
      </c>
      <c r="P306" s="210">
        <f t="shared" ref="P306:P308" si="167">IF(O306&lt;=0,0,Q306/O306)</f>
        <v>0.19123824757139454</v>
      </c>
      <c r="Q306" s="180">
        <f>-SUMIFS(BV_Data_An_Prec!$P:$P,BV_Data_An_Prec!$U:$U,$B306,BV_Data_An_Prec!$V:$V,$C306,BV_Data_An_Prec!$W:$W,$L$2)</f>
        <v>39168.279999999977</v>
      </c>
      <c r="R306" s="324">
        <f t="shared" ref="R306:R307" si="168">IF(O306=0,0,(J306-O306)/O306)</f>
        <v>1.5940263863733997E-2</v>
      </c>
      <c r="S306" s="199">
        <f t="shared" ref="S306:S308" si="169">L306-Q306</f>
        <v>-4077.0399999999936</v>
      </c>
      <c r="T306" s="222"/>
      <c r="U306" s="222">
        <f>J306/(J96+J27)</f>
        <v>298.10722063037247</v>
      </c>
      <c r="V306" s="222">
        <f>G306/(G96+G27)</f>
        <v>314.55860662435271</v>
      </c>
      <c r="W306" s="222"/>
      <c r="X306" s="222" t="s">
        <v>2936</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original'!$A$8:$A$496=$A307)*('Budget original'!$C$3:$AO$3=D$2),'Budget original'!$C$8:$AO$496)</f>
        <v>125361.02904318827</v>
      </c>
      <c r="E307" s="210">
        <f t="shared" si="162"/>
        <v>0.30006987567403665</v>
      </c>
      <c r="F307" s="202">
        <f>+SUMPRODUCT(('Budget original'!$A$8:$A$496=$A307)*('Budget original'!$C$3:$AO$3=F$2),'Budget original'!$C$8:$AO$496)</f>
        <v>37617.068399358803</v>
      </c>
      <c r="G307" s="197">
        <f>+SUMPRODUCT(('Budget révisé'!$A$8:$A$496=$A307)*('Budget révisé'!$C$3:$AO$3=G$2),'Budget révisé'!$C$8:$AO$496)</f>
        <v>125361.02904318827</v>
      </c>
      <c r="H307" s="210">
        <f t="shared" si="163"/>
        <v>0.30006987567403665</v>
      </c>
      <c r="I307" s="202">
        <f>+SUMPRODUCT(('Budget révisé'!$A$8:$A$496=$A307)*('Budget révisé'!$C$3:$AO$3=I$2),'Budget révisé'!$C$8:$AO$496)</f>
        <v>37617.068399358803</v>
      </c>
      <c r="J307" s="179">
        <f>-SUMIFS(BV_Data_An_Cour!$P:$P,BV_Data_An_Cour!$X:$X,"Oui",BV_Data_An_Cour!$U:$U,$B307,BV_Data_An_Cour!$V:$V,$C307)</f>
        <v>117951.83</v>
      </c>
      <c r="K307" s="210">
        <f t="shared" si="164"/>
        <v>0.28500736275138755</v>
      </c>
      <c r="L307" s="180">
        <f>-SUMIFS(BV_Data_An_Cour!$P:$P,BV_Data_An_Cour!$U:$U,$B307,BV_Data_An_Cour!$V:$V,$C307,BV_Data_An_Cour!$W:$W,$L$2)</f>
        <v>33617.14</v>
      </c>
      <c r="M307" s="324">
        <f t="shared" si="165"/>
        <v>-5.9102889468430585E-2</v>
      </c>
      <c r="N307" s="304">
        <f t="shared" si="166"/>
        <v>-3999.9283993588033</v>
      </c>
      <c r="O307" s="179">
        <f>-SUMIFS(BV_Data_An_Prec!$P:$P,BV_Data_An_Prec!$X:$X,"Oui",BV_Data_An_Prec!$U:$U,$B307,BV_Data_An_Prec!$V:$V,$C307)</f>
        <v>124066.11</v>
      </c>
      <c r="P307" s="210">
        <f t="shared" si="167"/>
        <v>0.29567171889245175</v>
      </c>
      <c r="Q307" s="180">
        <f>-SUMIFS(BV_Data_An_Prec!$P:$P,BV_Data_An_Prec!$U:$U,$B307,BV_Data_An_Prec!$V:$V,$C307,BV_Data_An_Prec!$W:$W,$L$2)</f>
        <v>36682.839999999997</v>
      </c>
      <c r="R307" s="324">
        <f t="shared" si="168"/>
        <v>-4.9282434985670129E-2</v>
      </c>
      <c r="S307" s="199">
        <f t="shared" si="169"/>
        <v>-3065.6999999999971</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2495383.2167871031</v>
      </c>
      <c r="E308" s="328">
        <f>IF(D308&lt;=0,0,F308/D308)</f>
        <v>0.30050590870604443</v>
      </c>
      <c r="F308" s="329">
        <f t="shared" ref="F308" si="170">F303+F306+F307</f>
        <v>749877.40113042062</v>
      </c>
      <c r="G308" s="331">
        <f>G303+G306+G307</f>
        <v>2495383.2167871031</v>
      </c>
      <c r="H308" s="328">
        <f>IF(G308&lt;=0,0,I308/G308)</f>
        <v>0.30050590870604443</v>
      </c>
      <c r="I308" s="329">
        <f t="shared" ref="I308" si="171">I303+I306+I307</f>
        <v>749877.40113042062</v>
      </c>
      <c r="J308" s="331">
        <f t="shared" ref="J308" si="172">J303+J306+J307</f>
        <v>2331733.11</v>
      </c>
      <c r="K308" s="328">
        <f t="shared" si="164"/>
        <v>0.284504288743406</v>
      </c>
      <c r="L308" s="329">
        <f>L303+L306+L307</f>
        <v>663388.07000000007</v>
      </c>
      <c r="M308" s="330">
        <f t="shared" si="165"/>
        <v>-6.5581152300049808E-2</v>
      </c>
      <c r="N308" s="329">
        <f t="shared" si="166"/>
        <v>-86489.331130420556</v>
      </c>
      <c r="O308" s="331">
        <f t="shared" ref="O308" si="173">O303+O306+O307</f>
        <v>2616803.9799999995</v>
      </c>
      <c r="P308" s="328">
        <f t="shared" si="167"/>
        <v>0.29710099646057564</v>
      </c>
      <c r="Q308" s="329">
        <f>Q303+Q306+Q307</f>
        <v>777455.07000000007</v>
      </c>
      <c r="R308" s="330">
        <f>IF(O308=0,0,(J308-O308)/O308)</f>
        <v>-0.10893856482135116</v>
      </c>
      <c r="S308" s="200">
        <f t="shared" si="169"/>
        <v>-114067</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-0.11533796191222745</v>
      </c>
      <c r="O309" s="303"/>
      <c r="P309" s="178"/>
      <c r="Q309" s="312"/>
      <c r="R309" s="303"/>
      <c r="S309" s="333">
        <f>IF(Q308=0,0,S308/Q308)</f>
        <v>-0.1467184463791586</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original'!$A$8:$A$496=$A311)*('Budget original'!$C$3:$AO$3=D$2),'Budget original'!$C$8:$AO$496)</f>
        <v>0</v>
      </c>
      <c r="E311" s="195">
        <f t="shared" ref="E311" si="174">IF(D311=0,0,F311/D311)</f>
        <v>0</v>
      </c>
      <c r="F311" s="196">
        <f>+SUMPRODUCT(('Budget original'!$A$8:$A$496=$A311)*('Budget original'!$C$3:$AO$3=F$2),'Budget original'!$C$8:$AO$496)</f>
        <v>0</v>
      </c>
      <c r="G311" s="211">
        <f>+SUMPRODUCT(('Budget révisé'!$A$8:$A$496=$A311)*('Budget révisé'!$C$3:$AO$3=G$2),'Budget révisé'!$C$8:$AO$496)</f>
        <v>0</v>
      </c>
      <c r="H311" s="195">
        <f t="shared" ref="H311" si="175">IF(G311=0,0,I311/G311)</f>
        <v>0</v>
      </c>
      <c r="I311" s="196">
        <f>+SUMPRODUCT(('Budget révisé'!$A$8:$A$496=$A311)*('Budget révisé'!$C$3:$AO$3=I$2),'Budget révisé'!$C$8:$AO$496)</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2495383.2167871031</v>
      </c>
      <c r="E313" s="71">
        <f>IF(D313&lt;=0,0,F313/D313)</f>
        <v>0.30050590870604443</v>
      </c>
      <c r="F313" s="28">
        <f t="shared" ref="F313" si="176">F308+F311</f>
        <v>749877.40113042062</v>
      </c>
      <c r="G313" s="29">
        <f>G308+G311</f>
        <v>2495383.2167871031</v>
      </c>
      <c r="H313" s="71">
        <f>IF(G313&lt;=0,0,I313/G313)</f>
        <v>0.30050590870604443</v>
      </c>
      <c r="I313" s="28">
        <f t="shared" ref="I313" si="177">I308+I311</f>
        <v>749877.40113042062</v>
      </c>
      <c r="J313" s="29">
        <f t="shared" ref="J313" si="178">J308+J311</f>
        <v>2331733.11</v>
      </c>
      <c r="K313" s="71">
        <f>IF(J313&lt;=0,0,L313/J313)</f>
        <v>0.284504288743406</v>
      </c>
      <c r="L313" s="28">
        <f>L308+L311</f>
        <v>663388.07000000007</v>
      </c>
      <c r="M313" s="72">
        <f>(+J313-G313)/G313</f>
        <v>-6.5581152300049808E-2</v>
      </c>
      <c r="N313" s="73">
        <f>L313-I313</f>
        <v>-86489.331130420556</v>
      </c>
      <c r="O313" s="29">
        <f t="shared" ref="O313" si="179">O308+O311</f>
        <v>2616803.9799999995</v>
      </c>
      <c r="P313" s="71">
        <f>IF(O313&lt;=0,0,Q313/O313)</f>
        <v>0.29710099646057564</v>
      </c>
      <c r="Q313" s="28">
        <f>Q308+Q311</f>
        <v>777455.07000000007</v>
      </c>
      <c r="R313" s="72">
        <f>IF(O313=0,0,(J313-O313)/O313)</f>
        <v>-0.10893856482135116</v>
      </c>
      <c r="S313" s="270">
        <f>L313-Q313</f>
        <v>-114067</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-0.11533796191222745</v>
      </c>
      <c r="O314" s="77"/>
      <c r="P314" s="75"/>
      <c r="Q314" s="76"/>
      <c r="R314" s="78"/>
      <c r="S314" s="272">
        <f>IF(Q313=0,0,S313/Q313)</f>
        <v>-0.1467184463791586</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original'!$A$8:$A$496=$A317)*('Budget original'!$C$3:$AO$3=F$2),'Budget original'!$C$8:$AO$496)</f>
        <v>64024.483025899237</v>
      </c>
      <c r="G317" s="227"/>
      <c r="H317" s="233"/>
      <c r="I317" s="231">
        <f>+SUMPRODUCT(('Budget révisé'!$A$8:$A$496=$A317)*('Budget révisé'!$C$3:$AO$3=I$2),'Budget révisé'!$C$8:$AO$496)</f>
        <v>64024.483025899237</v>
      </c>
      <c r="J317" s="227"/>
      <c r="K317" s="233"/>
      <c r="L317" s="281">
        <f>SUMIFS(BV_Data_An_Cour!$P:$P,BV_Data_An_Cour!$U:$U,$B317,BV_Data_An_Cour!$V:$V,$C317,BV_Data_An_Cour!$W:$W,$L$2)</f>
        <v>40775.26</v>
      </c>
      <c r="M317" s="227"/>
      <c r="N317" s="232">
        <f t="shared" ref="N317:N342" si="180">L317-I317</f>
        <v>-23249.223025899235</v>
      </c>
      <c r="O317" s="227"/>
      <c r="P317" s="233"/>
      <c r="Q317" s="281">
        <f>SUMIFS(BV_Data_An_Prec!$P:$P,BV_Data_An_Prec!$U:$U,$B317,BV_Data_An_Prec!$V:$V,$C317,BV_Data_An_Prec!$W:$W,$L$2)</f>
        <v>74538.75</v>
      </c>
      <c r="R317" s="227"/>
      <c r="S317" s="512">
        <f>L317-Q317</f>
        <v>-33763.49</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original'!$A$8:$A$496=$A318)*('Budget original'!$C$3:$AO$3=F$2),'Budget original'!$C$8:$AO$496)</f>
        <v>30594.614981026825</v>
      </c>
      <c r="G318" s="283"/>
      <c r="H318" s="233"/>
      <c r="I318" s="244">
        <f>+SUMPRODUCT(('Budget révisé'!$A$8:$A$496=$A318)*('Budget révisé'!$C$3:$AO$3=I$2),'Budget révisé'!$C$8:$AO$496)</f>
        <v>30594.614981026825</v>
      </c>
      <c r="J318" s="227"/>
      <c r="K318" s="233"/>
      <c r="L318" s="281">
        <f>SUMIFS(BV_Data_An_Cour!$P:$P,BV_Data_An_Cour!$U:$U,$B318,BV_Data_An_Cour!$V:$V,$C318,BV_Data_An_Cour!$W:$W,$L$2)</f>
        <v>28263.99</v>
      </c>
      <c r="M318" s="227"/>
      <c r="N318" s="232">
        <f t="shared" si="180"/>
        <v>-2330.6249810268237</v>
      </c>
      <c r="O318" s="227"/>
      <c r="P318" s="233"/>
      <c r="Q318" s="281">
        <f>SUMIFS(BV_Data_An_Prec!$P:$P,BV_Data_An_Prec!$U:$U,$B318,BV_Data_An_Prec!$V:$V,$C318,BV_Data_An_Prec!$W:$W,$L$2)</f>
        <v>28622.46</v>
      </c>
      <c r="R318" s="227"/>
      <c r="S318" s="284">
        <f t="shared" ref="S318:S342" si="181">L318-Q318</f>
        <v>-358.46999999999753</v>
      </c>
      <c r="T318" s="222"/>
      <c r="U318" s="222" t="s">
        <v>2933</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original'!$A$8:$A$496=$A319)*('Budget original'!$C$3:$AO$3=F$2),'Budget original'!$C$8:$AO$496)</f>
        <v>113707.60833208889</v>
      </c>
      <c r="G319" s="287"/>
      <c r="H319" s="286"/>
      <c r="I319" s="231">
        <f>+SUMPRODUCT(('Budget révisé'!$A$8:$A$496=$A319)*('Budget révisé'!$C$3:$AO$3=I$2),'Budget révisé'!$C$8:$AO$496)</f>
        <v>113707.60833208889</v>
      </c>
      <c r="J319" s="288"/>
      <c r="K319" s="286"/>
      <c r="L319" s="245">
        <f>SUMIFS(BV_Data_An_Cour!$P:$P,BV_Data_An_Cour!$U:$U,$B319,BV_Data_An_Cour!$V:$V,$C319,BV_Data_An_Cour!$W:$W,$L$2)</f>
        <v>143465.71</v>
      </c>
      <c r="M319" s="288"/>
      <c r="N319" s="289">
        <f t="shared" si="180"/>
        <v>29758.101667911105</v>
      </c>
      <c r="O319" s="288"/>
      <c r="P319" s="286"/>
      <c r="Q319" s="245">
        <f>SUMIFS(BV_Data_An_Prec!$P:$P,BV_Data_An_Prec!$U:$U,$B319,BV_Data_An_Prec!$V:$V,$C319,BV_Data_An_Prec!$W:$W,$L$2)</f>
        <v>107359.1</v>
      </c>
      <c r="R319" s="288"/>
      <c r="S319" s="290">
        <f t="shared" si="181"/>
        <v>36106.609999999986</v>
      </c>
      <c r="T319" s="222"/>
      <c r="U319" s="980"/>
      <c r="V319" s="980"/>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original'!$A$8:$A$496=$A320)*('Budget original'!$C$3:$AO$3=F$2),'Budget original'!$C$8:$AO$496)</f>
        <v>0</v>
      </c>
      <c r="G320" s="283"/>
      <c r="H320" s="233"/>
      <c r="I320" s="231">
        <f>+SUMPRODUCT(('Budget révisé'!$A$8:$A$496=$A320)*('Budget révisé'!$C$3:$AO$3=I$2),'Budget révisé'!$C$8:$AO$496)</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5" t="s">
        <v>42</v>
      </c>
      <c r="D321" s="262"/>
      <c r="E321" s="233"/>
      <c r="F321" s="231">
        <f>+SUMPRODUCT(('Budget original'!$A$8:$A$496=$A321)*('Budget original'!$C$3:$AO$3=F$2),'Budget original'!$C$8:$AO$496)</f>
        <v>0</v>
      </c>
      <c r="G321" s="283"/>
      <c r="H321" s="233"/>
      <c r="I321" s="231">
        <f>+SUMPRODUCT(('Budget révisé'!$A$8:$A$496=$A321)*('Budget révisé'!$C$3:$AO$3=I$2),'Budget révisé'!$C$8:$AO$496)</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5" t="s">
        <v>42</v>
      </c>
      <c r="D322" s="262"/>
      <c r="E322" s="233"/>
      <c r="F322" s="231">
        <f>+SUMPRODUCT(('Budget original'!$A$8:$A$496=$A322)*('Budget original'!$C$3:$AO$3=F$2),'Budget original'!$C$8:$AO$496)</f>
        <v>0</v>
      </c>
      <c r="G322" s="283"/>
      <c r="H322" s="233"/>
      <c r="I322" s="231">
        <f>+SUMPRODUCT(('Budget révisé'!$A$8:$A$496=$A322)*('Budget révisé'!$C$3:$AO$3=I$2),'Budget révisé'!$C$8:$AO$496)</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5" t="s">
        <v>42</v>
      </c>
      <c r="D323" s="262"/>
      <c r="E323" s="233"/>
      <c r="F323" s="231">
        <f>+SUMPRODUCT(('Budget original'!$A$8:$A$496=$A323)*('Budget original'!$C$3:$AO$3=F$2),'Budget original'!$C$8:$AO$496)</f>
        <v>0</v>
      </c>
      <c r="G323" s="283"/>
      <c r="H323" s="233"/>
      <c r="I323" s="231">
        <f>+SUMPRODUCT(('Budget révisé'!$A$8:$A$496=$A323)*('Budget révisé'!$C$3:$AO$3=I$2),'Budget révisé'!$C$8:$AO$496)</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original'!$A$8:$A$496=$A324)*('Budget original'!$C$3:$AO$3=F$2),'Budget original'!$C$8:$AO$496)</f>
        <v>24999.204760681787</v>
      </c>
      <c r="G324" s="283"/>
      <c r="H324" s="233"/>
      <c r="I324" s="244">
        <f>+SUMPRODUCT(('Budget révisé'!$A$8:$A$496=$A324)*('Budget révisé'!$C$3:$AO$3=I$2),'Budget révisé'!$C$8:$AO$496)</f>
        <v>24999.204760681787</v>
      </c>
      <c r="J324" s="227"/>
      <c r="K324" s="233"/>
      <c r="L324" s="281">
        <f>SUMIFS(BV_Data_An_Cour!$P:$P,BV_Data_An_Cour!$U:$U,$B324,BV_Data_An_Cour!$V:$V,$C324,BV_Data_An_Cour!$W:$W,$L$2)</f>
        <v>22025.65</v>
      </c>
      <c r="M324" s="227"/>
      <c r="N324" s="232">
        <f t="shared" si="180"/>
        <v>-2973.5547606817854</v>
      </c>
      <c r="O324" s="227"/>
      <c r="P324" s="233"/>
      <c r="Q324" s="281">
        <f>SUMIFS(BV_Data_An_Prec!$P:$P,BV_Data_An_Prec!$U:$U,$B324,BV_Data_An_Prec!$V:$V,$C324,BV_Data_An_Prec!$W:$W,$L$2)</f>
        <v>26544.97</v>
      </c>
      <c r="R324" s="227"/>
      <c r="S324" s="284">
        <f t="shared" si="181"/>
        <v>-4519.32</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original'!$A$8:$A$496=$A325)*('Budget original'!$C$3:$AO$3=F$2),'Budget original'!$C$8:$AO$496)</f>
        <v>24999.204760681787</v>
      </c>
      <c r="G325" s="287"/>
      <c r="H325" s="286"/>
      <c r="I325" s="231">
        <f>+SUMPRODUCT(('Budget révisé'!$A$8:$A$496=$A325)*('Budget révisé'!$C$3:$AO$3=I$2),'Budget révisé'!$C$8:$AO$496)</f>
        <v>24999.204760681787</v>
      </c>
      <c r="J325" s="288"/>
      <c r="K325" s="286"/>
      <c r="L325" s="245">
        <f>SUMIFS(BV_Data_An_Cour!$P:$P,BV_Data_An_Cour!$U:$U,$B325,BV_Data_An_Cour!$V:$V,$C325,BV_Data_An_Cour!$W:$W,$L$2)</f>
        <v>309.12</v>
      </c>
      <c r="M325" s="288"/>
      <c r="N325" s="289">
        <f t="shared" si="180"/>
        <v>-24690.084760681788</v>
      </c>
      <c r="O325" s="288"/>
      <c r="P325" s="286"/>
      <c r="Q325" s="245">
        <f>SUMIFS(BV_Data_An_Prec!$P:$P,BV_Data_An_Prec!$U:$U,$B325,BV_Data_An_Prec!$V:$V,$C325,BV_Data_An_Prec!$W:$W,$L$2)</f>
        <v>0</v>
      </c>
      <c r="R325" s="288"/>
      <c r="S325" s="290">
        <f t="shared" si="181"/>
        <v>309.12</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original'!$A$8:$A$496=$A326)*('Budget original'!$C$3:$AO$3=F$2),'Budget original'!$C$8:$AO$496)</f>
        <v>17916.096745155282</v>
      </c>
      <c r="G326" s="283"/>
      <c r="H326" s="233"/>
      <c r="I326" s="231">
        <f>+SUMPRODUCT(('Budget révisé'!$A$8:$A$496=$A326)*('Budget révisé'!$C$3:$AO$3=I$2),'Budget révisé'!$C$8:$AO$496)</f>
        <v>17916.096745155282</v>
      </c>
      <c r="J326" s="227"/>
      <c r="K326" s="233"/>
      <c r="L326" s="281">
        <f>SUMIFS(BV_Data_An_Cour!$P:$P,BV_Data_An_Cour!$U:$U,$B326,BV_Data_An_Cour!$V:$V,$C326,BV_Data_An_Cour!$W:$W,$L$2)</f>
        <v>17830.16</v>
      </c>
      <c r="M326" s="227"/>
      <c r="N326" s="232">
        <f t="shared" si="180"/>
        <v>-85.936745155282551</v>
      </c>
      <c r="O326" s="227"/>
      <c r="P326" s="233"/>
      <c r="Q326" s="281">
        <f>SUMIFS(BV_Data_An_Prec!$P:$P,BV_Data_An_Prec!$U:$U,$B326,BV_Data_An_Prec!$V:$V,$C326,BV_Data_An_Prec!$W:$W,$L$2)</f>
        <v>29655.759999999998</v>
      </c>
      <c r="R326" s="227"/>
      <c r="S326" s="284">
        <f t="shared" si="181"/>
        <v>-11825.599999999999</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original'!$A$8:$A$496=$A327)*('Budget original'!$C$3:$AO$3=F$2),'Budget original'!$C$8:$AO$496)</f>
        <v>4166.5341267802987</v>
      </c>
      <c r="G327" s="283"/>
      <c r="H327" s="233"/>
      <c r="I327" s="231">
        <f>+SUMPRODUCT(('Budget révisé'!$A$8:$A$496=$A327)*('Budget révisé'!$C$3:$AO$3=I$2),'Budget révisé'!$C$8:$AO$496)</f>
        <v>4166.5341267802987</v>
      </c>
      <c r="J327" s="227"/>
      <c r="K327" s="233"/>
      <c r="L327" s="281">
        <f>SUMIFS(BV_Data_An_Cour!$P:$P,BV_Data_An_Cour!$U:$U,$B327,BV_Data_An_Cour!$V:$V,$C327,BV_Data_An_Cour!$W:$W,$L$2)</f>
        <v>30293.32</v>
      </c>
      <c r="M327" s="227"/>
      <c r="N327" s="232">
        <f t="shared" si="180"/>
        <v>26126.785873219702</v>
      </c>
      <c r="O327" s="227"/>
      <c r="P327" s="233"/>
      <c r="Q327" s="281">
        <f>SUMIFS(BV_Data_An_Prec!$P:$P,BV_Data_An_Prec!$U:$U,$B327,BV_Data_An_Prec!$V:$V,$C327,BV_Data_An_Prec!$W:$W,$L$2)</f>
        <v>32620.440000000002</v>
      </c>
      <c r="R327" s="227"/>
      <c r="S327" s="284">
        <f t="shared" si="181"/>
        <v>-2327.1200000000026</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original'!$A$8:$A$496=$A328)*('Budget original'!$C$3:$AO$3=F$2),'Budget original'!$C$8:$AO$496)</f>
        <v>0</v>
      </c>
      <c r="G328" s="294"/>
      <c r="H328" s="293"/>
      <c r="I328" s="231">
        <f>+SUMPRODUCT(('Budget révisé'!$A$8:$A$496=$A328)*('Budget révisé'!$C$3:$AO$3=I$2),'Budget révisé'!$C$8:$AO$496)</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0.37393812149773642</v>
      </c>
      <c r="F329" s="41">
        <f>+SUM(F317:F328)</f>
        <v>280407.74673231406</v>
      </c>
      <c r="G329" s="42" t="s">
        <v>111</v>
      </c>
      <c r="H329" s="40">
        <f>I329/I$313</f>
        <v>0.37393812149773642</v>
      </c>
      <c r="I329" s="41">
        <f>+SUM(I317:I328)</f>
        <v>280407.74673231406</v>
      </c>
      <c r="J329" s="42" t="s">
        <v>111</v>
      </c>
      <c r="K329" s="40">
        <f>L329/L$313</f>
        <v>0.42654250625881762</v>
      </c>
      <c r="L329" s="41">
        <f>+SUM(L317:L328)</f>
        <v>282963.20999999996</v>
      </c>
      <c r="M329" s="43"/>
      <c r="N329" s="46">
        <f t="shared" si="180"/>
        <v>2555.4632676859037</v>
      </c>
      <c r="O329" s="42" t="s">
        <v>111</v>
      </c>
      <c r="P329" s="40">
        <f>Q329/Q$313</f>
        <v>0.385027368848466</v>
      </c>
      <c r="Q329" s="41">
        <f>+SUM(Q317:Q328)</f>
        <v>299341.48</v>
      </c>
      <c r="R329" s="43"/>
      <c r="S329" s="299">
        <f t="shared" si="181"/>
        <v>-16378.270000000019</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original'!$A$8:$A$496=$A330)*('Budget original'!$C$3:$AO$3=F$2),'Budget original'!$C$8:$AO$496)</f>
        <v>26660.491666666665</v>
      </c>
      <c r="G330" s="302"/>
      <c r="H330" s="178"/>
      <c r="I330" s="179">
        <f>+SUMPRODUCT(('Budget révisé'!$A$8:$A$496=$A330)*('Budget révisé'!$C$3:$AO$3=I$2),'Budget révisé'!$C$8:$AO$496)</f>
        <v>26660.491666666665</v>
      </c>
      <c r="J330" s="303"/>
      <c r="K330" s="178"/>
      <c r="L330" s="281">
        <f>SUMIFS(BV_Data_An_Cour!$P:$P,BV_Data_An_Cour!$U:$U,$B330,BV_Data_An_Cour!$V:$V,$C330,BV_Data_An_Cour!$W:$W,$L$2)</f>
        <v>23718.1</v>
      </c>
      <c r="M330" s="303"/>
      <c r="N330" s="304">
        <f t="shared" si="180"/>
        <v>-2942.3916666666664</v>
      </c>
      <c r="O330" s="303"/>
      <c r="P330" s="178"/>
      <c r="Q330" s="281">
        <f>SUMIFS(BV_Data_An_Prec!$P:$P,BV_Data_An_Prec!$U:$U,$B330,BV_Data_An_Prec!$V:$V,$C330,BV_Data_An_Prec!$W:$W,$L$2)</f>
        <v>49788.6</v>
      </c>
      <c r="R330" s="303"/>
      <c r="S330" s="199">
        <f t="shared" si="181"/>
        <v>-26070.5</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original'!$A$8:$A$496=$A331)*('Budget original'!$C$3:$AO$3=F$2),'Budget original'!$C$8:$AO$496)</f>
        <v>13811.419310872156</v>
      </c>
      <c r="G331" s="302"/>
      <c r="H331" s="178"/>
      <c r="I331" s="179">
        <f>+SUMPRODUCT(('Budget révisé'!$A$8:$A$496=$A331)*('Budget révisé'!$C$3:$AO$3=I$2),'Budget révisé'!$C$8:$AO$496)</f>
        <v>13811.419310872156</v>
      </c>
      <c r="J331" s="303"/>
      <c r="K331" s="178"/>
      <c r="L331" s="180">
        <f>SUMIFS(BV_Data_An_Cour!$P:$P,BV_Data_An_Cour!$U:$U,$B331,BV_Data_An_Cour!$V:$V,$C331,BV_Data_An_Cour!$W:$W,$L$2)</f>
        <v>2148.2800000000002</v>
      </c>
      <c r="M331" s="303"/>
      <c r="N331" s="304">
        <f t="shared" si="180"/>
        <v>-11663.139310872155</v>
      </c>
      <c r="O331" s="303"/>
      <c r="P331" s="178"/>
      <c r="Q331" s="180">
        <f>SUMIFS(BV_Data_An_Prec!$P:$P,BV_Data_An_Prec!$U:$U,$B331,BV_Data_An_Prec!$V:$V,$C331,BV_Data_An_Prec!$W:$W,$L$2)</f>
        <v>10561.14</v>
      </c>
      <c r="R331" s="303"/>
      <c r="S331" s="199">
        <f t="shared" si="181"/>
        <v>-8412.8599999999988</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original'!$A$8:$A$496=$A332)*('Budget original'!$C$3:$AO$3=F$2),'Budget original'!$C$8:$AO$496)</f>
        <v>1998.5</v>
      </c>
      <c r="G332" s="309"/>
      <c r="H332" s="308"/>
      <c r="I332" s="177">
        <f>+SUMPRODUCT(('Budget révisé'!$A$8:$A$496=$A332)*('Budget révisé'!$C$3:$AO$3=I$2),'Budget révisé'!$C$8:$AO$496)</f>
        <v>1998.5</v>
      </c>
      <c r="J332" s="310"/>
      <c r="K332" s="308"/>
      <c r="L332" s="180">
        <f>SUMIFS(BV_Data_An_Cour!$P:$P,BV_Data_An_Cour!$U:$U,$B332,BV_Data_An_Cour!$V:$V,$C332,BV_Data_An_Cour!$W:$W,$L$2)</f>
        <v>2155.38</v>
      </c>
      <c r="M332" s="310"/>
      <c r="N332" s="311">
        <f t="shared" si="180"/>
        <v>156.88000000000011</v>
      </c>
      <c r="O332" s="310"/>
      <c r="P332" s="308"/>
      <c r="Q332" s="180">
        <f>SUMIFS(BV_Data_An_Prec!$P:$P,BV_Data_An_Prec!$U:$U,$B332,BV_Data_An_Prec!$V:$V,$C332,BV_Data_An_Prec!$W:$W,$L$2)</f>
        <v>8155.56</v>
      </c>
      <c r="R332" s="310"/>
      <c r="S332" s="202">
        <f t="shared" si="181"/>
        <v>-6000.18</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original'!$A$8:$A$496=$A333)*('Budget original'!$C$3:$AO$3=F$2),'Budget original'!$C$8:$AO$496)</f>
        <v>29965.448333333341</v>
      </c>
      <c r="G333" s="302"/>
      <c r="H333" s="178"/>
      <c r="I333" s="179">
        <f>+SUMPRODUCT(('Budget révisé'!$A$8:$A$496=$A333)*('Budget révisé'!$C$3:$AO$3=I$2),'Budget révisé'!$C$8:$AO$496)</f>
        <v>29965.448333333341</v>
      </c>
      <c r="J333" s="303"/>
      <c r="K333" s="178"/>
      <c r="L333" s="181">
        <f>SUMIFS(BV_Data_An_Cour!$P:$P,BV_Data_An_Cour!$U:$U,$B333,BV_Data_An_Cour!$V:$V,$C333,BV_Data_An_Cour!$W:$W,$L$2)</f>
        <v>26258.69</v>
      </c>
      <c r="M333" s="303"/>
      <c r="N333" s="304">
        <f t="shared" si="180"/>
        <v>-3706.7583333333423</v>
      </c>
      <c r="O333" s="303"/>
      <c r="P333" s="178"/>
      <c r="Q333" s="181">
        <f>SUMIFS(BV_Data_An_Prec!$P:$P,BV_Data_An_Prec!$U:$U,$B333,BV_Data_An_Prec!$V:$V,$C333,BV_Data_An_Prec!$W:$W,$L$2)</f>
        <v>26806.12</v>
      </c>
      <c r="R333" s="303"/>
      <c r="S333" s="199">
        <f t="shared" si="181"/>
        <v>-547.43000000000029</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original'!$A$8:$A$496=$A334)*('Budget original'!$C$3:$AO$3=F$2),'Budget original'!$C$8:$AO$496)</f>
        <v>8730.8418749999983</v>
      </c>
      <c r="G334" s="302"/>
      <c r="H334" s="178"/>
      <c r="I334" s="179">
        <f>+SUMPRODUCT(('Budget révisé'!$A$8:$A$496=$A334)*('Budget révisé'!$C$3:$AO$3=I$2),'Budget révisé'!$C$8:$AO$496)</f>
        <v>8730.8418749999983</v>
      </c>
      <c r="J334" s="303"/>
      <c r="K334" s="178"/>
      <c r="L334" s="180">
        <f>SUMIFS(BV_Data_An_Cour!$P:$P,BV_Data_An_Cour!$U:$U,$B334,BV_Data_An_Cour!$V:$V,$C334,BV_Data_An_Cour!$W:$W,$L$2)</f>
        <v>2671.58</v>
      </c>
      <c r="M334" s="303"/>
      <c r="N334" s="304">
        <f t="shared" si="180"/>
        <v>-6059.2618749999983</v>
      </c>
      <c r="O334" s="303"/>
      <c r="P334" s="178"/>
      <c r="Q334" s="180">
        <f>SUMIFS(BV_Data_An_Prec!$P:$P,BV_Data_An_Prec!$U:$U,$B334,BV_Data_An_Prec!$V:$V,$C334,BV_Data_An_Prec!$W:$W,$L$2)</f>
        <v>10634.75</v>
      </c>
      <c r="R334" s="303"/>
      <c r="S334" s="199">
        <f t="shared" si="181"/>
        <v>-7963.17</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7" t="s">
        <v>126</v>
      </c>
      <c r="D335" s="307"/>
      <c r="E335" s="308"/>
      <c r="F335" s="177">
        <f>+SUMPRODUCT(('Budget original'!$A$8:$A$496=$A335)*('Budget original'!$C$3:$AO$3=F$2),'Budget original'!$C$8:$AO$496)</f>
        <v>53794.108558333333</v>
      </c>
      <c r="G335" s="309"/>
      <c r="H335" s="308"/>
      <c r="I335" s="177">
        <f>+SUMPRODUCT(('Budget révisé'!$A$8:$A$496=$A335)*('Budget révisé'!$C$3:$AO$3=I$2),'Budget révisé'!$C$8:$AO$496)</f>
        <v>53794.108558333333</v>
      </c>
      <c r="J335" s="310"/>
      <c r="K335" s="308"/>
      <c r="L335" s="405">
        <f>SUMIFS(BV_Data_An_Cour!$P:$P,BV_Data_An_Cour!$U:$U,$B335,BV_Data_An_Cour!$V:$V,$C335,BV_Data_An_Cour!$W:$W,$L$2)</f>
        <v>40968.74</v>
      </c>
      <c r="M335" s="310"/>
      <c r="N335" s="311">
        <f t="shared" si="180"/>
        <v>-12825.368558333335</v>
      </c>
      <c r="O335" s="310"/>
      <c r="P335" s="308"/>
      <c r="Q335" s="405">
        <f>SUMIFS(BV_Data_An_Prec!$P:$P,BV_Data_An_Prec!$U:$U,$B335,BV_Data_An_Prec!$V:$V,$C335,BV_Data_An_Prec!$W:$W,$L$2)</f>
        <v>74703.14</v>
      </c>
      <c r="R335" s="310"/>
      <c r="S335" s="202">
        <f t="shared" si="181"/>
        <v>-33734.400000000001</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1996</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original'!$A$8:$A$496=$A337)*('Budget original'!$C$3:$AO$3=F$2),'Budget original'!$C$8:$AO$496)</f>
        <v>882</v>
      </c>
      <c r="G337" s="302"/>
      <c r="H337" s="178"/>
      <c r="I337" s="179">
        <f>+SUMPRODUCT(('Budget révisé'!$A$8:$A$496=$A337)*('Budget révisé'!$C$3:$AO$3=I$2),'Budget révisé'!$C$8:$AO$496)</f>
        <v>882</v>
      </c>
      <c r="J337" s="303"/>
      <c r="K337" s="178"/>
      <c r="L337" s="180">
        <f>SUMIFS(BV_Data_An_Cour!$P:$P,BV_Data_An_Cour!$U:$U,$B337,BV_Data_An_Cour!$V:$V,$C337,BV_Data_An_Cour!$W:$W,$L$2)</f>
        <v>1064.22</v>
      </c>
      <c r="M337" s="303"/>
      <c r="N337" s="304">
        <f t="shared" si="180"/>
        <v>182.22000000000003</v>
      </c>
      <c r="O337" s="303"/>
      <c r="P337" s="178"/>
      <c r="Q337" s="180">
        <f>SUMIFS(BV_Data_An_Prec!$P:$P,BV_Data_An_Prec!$U:$U,$B337,BV_Data_An_Prec!$V:$V,$C337,BV_Data_An_Prec!$W:$W,$L$2)</f>
        <v>730</v>
      </c>
      <c r="R337" s="303"/>
      <c r="S337" s="199">
        <f t="shared" si="181"/>
        <v>334.22</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original'!$A$8:$A$496=$A338)*('Budget original'!$C$3:$AO$3=F$2),'Budget original'!$C$8:$AO$496)</f>
        <v>1190</v>
      </c>
      <c r="G338" s="302"/>
      <c r="H338" s="178"/>
      <c r="I338" s="179">
        <f>+SUMPRODUCT(('Budget révisé'!$A$8:$A$496=$A338)*('Budget révisé'!$C$3:$AO$3=I$2),'Budget révisé'!$C$8:$AO$496)</f>
        <v>1190</v>
      </c>
      <c r="J338" s="303"/>
      <c r="K338" s="178"/>
      <c r="L338" s="180">
        <f>SUMIFS(BV_Data_An_Cour!$P:$P,BV_Data_An_Cour!$U:$U,$B338,BV_Data_An_Cour!$V:$V,$C338,BV_Data_An_Cour!$W:$W,$L$2)</f>
        <v>0</v>
      </c>
      <c r="M338" s="303"/>
      <c r="N338" s="304">
        <f t="shared" si="180"/>
        <v>-1190</v>
      </c>
      <c r="O338" s="303"/>
      <c r="P338" s="178"/>
      <c r="Q338" s="180">
        <f>SUMIFS(BV_Data_An_Prec!$P:$P,BV_Data_An_Prec!$U:$U,$B338,BV_Data_An_Prec!$V:$V,$C338,BV_Data_An_Prec!$W:$W,$L$2)</f>
        <v>1190</v>
      </c>
      <c r="R338" s="303"/>
      <c r="S338" s="199">
        <f t="shared" si="181"/>
        <v>-1190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original'!$A$8:$A$496=$A339)*('Budget original'!$C$3:$AO$3=F$2),'Budget original'!$C$8:$AO$496)</f>
        <v>3815</v>
      </c>
      <c r="G339" s="302"/>
      <c r="H339" s="178"/>
      <c r="I339" s="179">
        <f>+SUMPRODUCT(('Budget révisé'!$A$8:$A$496=$A339)*('Budget révisé'!$C$3:$AO$3=I$2),'Budget révisé'!$C$8:$AO$496)</f>
        <v>3815</v>
      </c>
      <c r="J339" s="303"/>
      <c r="K339" s="178"/>
      <c r="L339" s="554">
        <f>SUMIFS(BV_Data_An_Cour!$P:$P,BV_Data_An_Cour!$U:$U,$B339,BV_Data_An_Cour!$V:$V,$C339,BV_Data_An_Cour!$W:$W,$L$2)</f>
        <v>3404.74</v>
      </c>
      <c r="M339" s="303"/>
      <c r="N339" s="304">
        <f t="shared" si="180"/>
        <v>-410.26000000000022</v>
      </c>
      <c r="O339" s="303"/>
      <c r="P339" s="178"/>
      <c r="Q339" s="554">
        <f>SUMIFS(BV_Data_An_Prec!$P:$P,BV_Data_An_Prec!$U:$U,$B339,BV_Data_An_Prec!$V:$V,$C339,BV_Data_An_Prec!$W:$W,$L$2)</f>
        <v>3237.5</v>
      </c>
      <c r="R339" s="303"/>
      <c r="S339" s="199">
        <f t="shared" si="181"/>
        <v>167.23999999999978</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original'!$A$8:$A$496=$A340)*('Budget original'!$C$3:$AO$3=F$2),'Budget original'!$C$8:$AO$496)</f>
        <v>3165.9250000000002</v>
      </c>
      <c r="G340" s="302"/>
      <c r="H340" s="178"/>
      <c r="I340" s="179">
        <f>+SUMPRODUCT(('Budget révisé'!$A$8:$A$496=$A340)*('Budget révisé'!$C$3:$AO$3=I$2),'Budget révisé'!$C$8:$AO$496)</f>
        <v>3165.9250000000002</v>
      </c>
      <c r="J340" s="303"/>
      <c r="K340" s="178"/>
      <c r="L340" s="180">
        <f>SUMIFS(BV_Data_An_Cour!$P:$P,BV_Data_An_Cour!$U:$U,$B340,BV_Data_An_Cour!$V:$V,$C340,BV_Data_An_Cour!$W:$W,$L$2)</f>
        <v>1055.26</v>
      </c>
      <c r="M340" s="303"/>
      <c r="N340" s="304">
        <f t="shared" si="180"/>
        <v>-2110.665</v>
      </c>
      <c r="O340" s="303"/>
      <c r="P340" s="178"/>
      <c r="Q340" s="180">
        <f>SUMIFS(BV_Data_An_Prec!$P:$P,BV_Data_An_Prec!$U:$U,$B340,BV_Data_An_Prec!$V:$V,$C340,BV_Data_An_Prec!$W:$W,$L$2)</f>
        <v>2381.38</v>
      </c>
      <c r="R340" s="303"/>
      <c r="S340" s="199">
        <f t="shared" si="181"/>
        <v>-1326.1200000000001</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original'!$A$8:$A$496=$A341)*('Budget original'!$C$3:$AO$3=F$2),'Budget original'!$C$8:$AO$496)</f>
        <v>1513.75</v>
      </c>
      <c r="G341" s="302"/>
      <c r="H341" s="178"/>
      <c r="I341" s="179">
        <f>+SUMPRODUCT(('Budget révisé'!$A$8:$A$496=$A341)*('Budget révisé'!$C$3:$AO$3=I$2),'Budget révisé'!$C$8:$AO$496)</f>
        <v>1513.75</v>
      </c>
      <c r="J341" s="303"/>
      <c r="K341" s="178"/>
      <c r="L341" s="281">
        <f>SUMIFS(BV_Data_An_Cour!$P:$P,BV_Data_An_Cour!$U:$U,$B341,BV_Data_An_Cour!$V:$V,$C341,BV_Data_An_Cour!$W:$W,$L$2)</f>
        <v>161.97</v>
      </c>
      <c r="M341" s="303"/>
      <c r="N341" s="304">
        <f t="shared" si="180"/>
        <v>-1351.78</v>
      </c>
      <c r="O341" s="303"/>
      <c r="P341" s="178"/>
      <c r="Q341" s="180">
        <f>SUMIFS(BV_Data_An_Prec!$P:$P,BV_Data_An_Prec!$U:$U,$B341,BV_Data_An_Prec!$V:$V,$C341,BV_Data_An_Prec!$W:$W,$L$2)</f>
        <v>834.53</v>
      </c>
      <c r="R341" s="303"/>
      <c r="S341" s="199">
        <f t="shared" si="181"/>
        <v>-672.56</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original'!$A$8:$A$496=$A342)*('Budget original'!$C$3:$AO$3=F$2),'Budget original'!$C$8:$AO$496)</f>
        <v>6284.25</v>
      </c>
      <c r="G342" s="302"/>
      <c r="H342" s="178"/>
      <c r="I342" s="179">
        <f>+SUMPRODUCT(('Budget révisé'!$A$8:$A$496=$A342)*('Budget révisé'!$C$3:$AO$3=I$2),'Budget révisé'!$C$8:$AO$496)</f>
        <v>6284.25</v>
      </c>
      <c r="J342" s="303"/>
      <c r="K342" s="178"/>
      <c r="L342" s="281">
        <f>SUMIFS(BV_Data_An_Cour!$P:$P,BV_Data_An_Cour!$U:$U,$B342,BV_Data_An_Cour!$V:$V,$C342,BV_Data_An_Cour!$W:$W,$L$2)</f>
        <v>3789.66</v>
      </c>
      <c r="M342" s="303"/>
      <c r="N342" s="304">
        <f t="shared" si="180"/>
        <v>-2494.59</v>
      </c>
      <c r="O342" s="303"/>
      <c r="P342" s="178"/>
      <c r="Q342" s="180">
        <f>SUMIFS(BV_Data_An_Prec!$P:$P,BV_Data_An_Prec!$U:$U,$B342,BV_Data_An_Prec!$V:$V,$C342,BV_Data_An_Prec!$W:$W,$L$2)</f>
        <v>9198.25</v>
      </c>
      <c r="R342" s="303"/>
      <c r="S342" s="199">
        <f t="shared" si="181"/>
        <v>-5408.59</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original'!$A$8:$A$496=$A343)*('Budget original'!$C$3:$AO$3=F$2),'Budget original'!$C$8:$AO$496)</f>
        <v>1730.0208333333333</v>
      </c>
      <c r="G343" s="302"/>
      <c r="H343" s="178"/>
      <c r="I343" s="179">
        <f>+SUMPRODUCT(('Budget révisé'!$A$8:$A$496=$A343)*('Budget révisé'!$C$3:$AO$3=I$2),'Budget révisé'!$C$8:$AO$496)</f>
        <v>1730.0208333333333</v>
      </c>
      <c r="J343" s="303"/>
      <c r="K343" s="178"/>
      <c r="L343" s="281">
        <f>SUMIFS(BV_Data_An_Cour!$P:$P,BV_Data_An_Cour!$U:$U,$B343,BV_Data_An_Cour!$V:$V,$C343,BV_Data_An_Cour!$W:$W,$L$2)</f>
        <v>404.98</v>
      </c>
      <c r="M343" s="303"/>
      <c r="N343" s="304">
        <f t="shared" ref="N343:N347" si="189">L343-I343</f>
        <v>-1325.0408333333332</v>
      </c>
      <c r="O343" s="303"/>
      <c r="P343" s="178"/>
      <c r="Q343" s="180">
        <f>SUMIFS(BV_Data_An_Prec!$P:$P,BV_Data_An_Prec!$U:$U,$B343,BV_Data_An_Prec!$V:$V,$C343,BV_Data_An_Prec!$W:$W,$L$2)</f>
        <v>2275</v>
      </c>
      <c r="R343" s="303"/>
      <c r="S343" s="199">
        <f t="shared" ref="S343:S347" si="190">L343-Q343</f>
        <v>-1870.02</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original'!$A$8:$A$496=$A344)*('Budget original'!$C$3:$AO$3=F$2),'Budget original'!$C$8:$AO$496)</f>
        <v>14344.488067785356</v>
      </c>
      <c r="G344" s="302"/>
      <c r="H344" s="178"/>
      <c r="I344" s="179">
        <f>+SUMPRODUCT(('Budget révisé'!$A$8:$A$496=$A344)*('Budget révisé'!$C$3:$AO$3=I$2),'Budget révisé'!$C$8:$AO$496)</f>
        <v>14344.488067785356</v>
      </c>
      <c r="J344" s="303"/>
      <c r="K344" s="178"/>
      <c r="L344" s="984">
        <f>AF447*W7</f>
        <v>9018.3559999999998</v>
      </c>
      <c r="M344" s="303"/>
      <c r="N344" s="304">
        <f t="shared" si="189"/>
        <v>-5326.1320677853564</v>
      </c>
      <c r="O344" s="303"/>
      <c r="P344" s="178"/>
      <c r="Q344" s="180">
        <f>AL447*W7</f>
        <v>9771.6380000000008</v>
      </c>
      <c r="R344" s="303"/>
      <c r="S344" s="199">
        <f t="shared" si="190"/>
        <v>-753.28200000000106</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original'!$A$8:$A$496=$A345)*('Budget original'!$C$3:$AO$3=F$2),'Budget original'!$C$8:$AO$496)</f>
        <v>0</v>
      </c>
      <c r="G345" s="302"/>
      <c r="H345" s="178"/>
      <c r="I345" s="179">
        <f>+SUMPRODUCT(('Budget révisé'!$A$8:$A$496=$A345)*('Budget révisé'!$C$3:$AO$3=I$2),'Budget révisé'!$C$8:$AO$496)</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original'!$A$8:$A$496=$A346)*('Budget original'!$C$3:$AO$3=F$2),'Budget original'!$C$8:$AO$496)</f>
        <v>0</v>
      </c>
      <c r="G346" s="302"/>
      <c r="H346" s="178"/>
      <c r="I346" s="179">
        <f>+SUMPRODUCT(('Budget révisé'!$A$8:$A$496=$A346)*('Budget révisé'!$C$3:$AO$3=I$2),'Budget révisé'!$C$8:$AO$496)</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original'!$A$8:$A$496=$A347)*('Budget original'!$C$3:$AO$3=F$2),'Budget original'!$C$8:$AO$496)</f>
        <v>0</v>
      </c>
      <c r="G347" s="302"/>
      <c r="H347" s="178"/>
      <c r="I347" s="179">
        <f>+SUMPRODUCT(('Budget révisé'!$A$8:$A$496=$A347)*('Budget révisé'!$C$3:$AO$3=I$2),'Budget révisé'!$C$8:$AO$496)</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0.22388492224494305</v>
      </c>
      <c r="F348" s="41">
        <f>+SUM(F330:F347)</f>
        <v>167886.2436453242</v>
      </c>
      <c r="G348" s="42" t="s">
        <v>111</v>
      </c>
      <c r="H348" s="40">
        <f>I348/I$313</f>
        <v>0.22388492224494305</v>
      </c>
      <c r="I348" s="41">
        <f>+SUM(I330:I347)</f>
        <v>167886.2436453242</v>
      </c>
      <c r="J348" s="42" t="s">
        <v>111</v>
      </c>
      <c r="K348" s="40">
        <f>L348/L$313</f>
        <v>0.17609595541867368</v>
      </c>
      <c r="L348" s="41">
        <f>+SUM(L330:L347)</f>
        <v>116819.95599999999</v>
      </c>
      <c r="M348" s="44"/>
      <c r="N348" s="41">
        <f>+SUM(N330:N347)</f>
        <v>-51066.287645324184</v>
      </c>
      <c r="O348" s="42" t="s">
        <v>111</v>
      </c>
      <c r="P348" s="40">
        <f>Q348/Q$313</f>
        <v>0.27045628244472053</v>
      </c>
      <c r="Q348" s="41">
        <f>+SUM(Q330:Q347)</f>
        <v>210267.60800000001</v>
      </c>
      <c r="R348" s="44"/>
      <c r="S348" s="316">
        <f>+SUM(S330:S347)</f>
        <v>-93447.652000000002</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0.59782304374267947</v>
      </c>
      <c r="F350" s="41">
        <f>F329+F348</f>
        <v>448293.99037763826</v>
      </c>
      <c r="G350" s="42" t="s">
        <v>111</v>
      </c>
      <c r="H350" s="40">
        <f>I350/I$313</f>
        <v>0.59782304374267947</v>
      </c>
      <c r="I350" s="41">
        <f>I329+I348</f>
        <v>448293.99037763826</v>
      </c>
      <c r="J350" s="42" t="s">
        <v>111</v>
      </c>
      <c r="K350" s="40">
        <f>L350/L$313</f>
        <v>0.60263846167749135</v>
      </c>
      <c r="L350" s="41">
        <f>L329+L348</f>
        <v>399783.16599999997</v>
      </c>
      <c r="M350" s="44"/>
      <c r="N350" s="46">
        <f t="shared" ref="N350:N352" si="192">L350-I350</f>
        <v>-48510.824377638288</v>
      </c>
      <c r="O350" s="42" t="s">
        <v>111</v>
      </c>
      <c r="P350" s="40">
        <f>Q350/Q$313</f>
        <v>0.65548365129318653</v>
      </c>
      <c r="Q350" s="41">
        <f>Q329+Q348</f>
        <v>509609.08799999999</v>
      </c>
      <c r="R350" s="44"/>
      <c r="S350" s="299">
        <f>L350-Q350</f>
        <v>-109825.92200000002</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301583.41075278237</v>
      </c>
      <c r="G352" s="344"/>
      <c r="H352" s="342"/>
      <c r="I352" s="343">
        <f>I313-I350</f>
        <v>301583.41075278237</v>
      </c>
      <c r="J352" s="345"/>
      <c r="K352" s="346"/>
      <c r="L352" s="343">
        <f>L313-L350</f>
        <v>263604.9040000001</v>
      </c>
      <c r="M352" s="345"/>
      <c r="N352" s="343">
        <f t="shared" si="192"/>
        <v>-37978.506752782268</v>
      </c>
      <c r="O352" s="345"/>
      <c r="P352" s="346"/>
      <c r="Q352" s="343">
        <f>Q313-Q350</f>
        <v>267845.98200000008</v>
      </c>
      <c r="R352" s="345"/>
      <c r="S352" s="347">
        <f>L352-Q352</f>
        <v>-4241.0779999999795</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94">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AAD, Juillet 2021</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161" t="s">
        <v>77</v>
      </c>
      <c r="E357" s="1161"/>
      <c r="F357" s="1171"/>
      <c r="G357" s="1164" t="s">
        <v>145</v>
      </c>
      <c r="H357" s="1161"/>
      <c r="I357" s="1171"/>
      <c r="J357" s="1164" t="s">
        <v>79</v>
      </c>
      <c r="K357" s="1161"/>
      <c r="L357" s="1171"/>
      <c r="M357" s="1164" t="s">
        <v>80</v>
      </c>
      <c r="N357" s="1171"/>
      <c r="O357" s="1164" t="s">
        <v>81</v>
      </c>
      <c r="P357" s="1161"/>
      <c r="Q357" s="1171"/>
      <c r="R357" s="1164" t="s">
        <v>82</v>
      </c>
      <c r="S357" s="1172"/>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original'!$A$8:$A$496=$A359)*('Budget original'!$C$3:$AO$3=D$2),'Budget original'!$C$8:$AO$496)</f>
        <v>0</v>
      </c>
      <c r="E359" s="204">
        <f>IFERROR(F359/D359,0)</f>
        <v>0</v>
      </c>
      <c r="F359" s="208">
        <f>+SUMPRODUCT(('Budget original'!$A$8:$A$496=$A359)*('Budget original'!$C$3:$AO$3=F$2),'Budget original'!$C$8:$AO$496)</f>
        <v>0</v>
      </c>
      <c r="G359" s="203">
        <v>0</v>
      </c>
      <c r="H359" s="204">
        <f>IFERROR(I359/G359,0)</f>
        <v>0</v>
      </c>
      <c r="I359" s="203">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4">
        <f>IF(G361=0,0,(+J361-G361)/G361)</f>
        <v>0</v>
      </c>
      <c r="N361" s="1095">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96"/>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original'!$A$8:$A$496=$A364)*('Budget original'!$C$3:$AO$3=F$2),'Budget original'!$C$8:$AO$496)</f>
        <v>0</v>
      </c>
      <c r="G364" s="303"/>
      <c r="H364" s="178"/>
      <c r="I364" s="179">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original'!$A$8:$A$496=$A365)*('Budget original'!$C$3:$AO$3=F$2),'Budget original'!$C$8:$AO$496)</f>
        <v>0</v>
      </c>
      <c r="G365" s="302"/>
      <c r="H365" s="178"/>
      <c r="I365" s="177">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original'!$A$8:$A$496=$A366)*('Budget original'!$C$3:$AO$3=F$2),'Budget original'!$C$8:$AO$496)</f>
        <v>0</v>
      </c>
      <c r="G366" s="393"/>
      <c r="H366" s="352"/>
      <c r="I366" s="179">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original'!$A$8:$A$496=$A367)*('Budget original'!$C$3:$AO$3=F$2),'Budget original'!$C$8:$AO$496)</f>
        <v>0</v>
      </c>
      <c r="G367" s="302"/>
      <c r="H367" s="178"/>
      <c r="I367" s="179">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original'!$A$8:$A$496=$A368)*('Budget original'!$C$3:$AO$3=F$2),'Budget original'!$C$8:$AO$496)</f>
        <v>0</v>
      </c>
      <c r="G368" s="302"/>
      <c r="H368" s="178"/>
      <c r="I368" s="179">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original'!$A$8:$A$496=$A369)*('Budget original'!$C$3:$AO$3=F$2),'Budget original'!$C$8:$AO$496)</f>
        <v>0</v>
      </c>
      <c r="G369" s="302"/>
      <c r="H369" s="178"/>
      <c r="I369" s="179">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original'!$A$8:$A$496=$A370)*('Budget original'!$C$3:$AO$3=F$2),'Budget original'!$C$8:$AO$496)</f>
        <v>0</v>
      </c>
      <c r="G370" s="302"/>
      <c r="H370" s="178"/>
      <c r="I370" s="179">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original'!$A$8:$A$496=$A371)*('Budget original'!$C$3:$AO$3=F$2),'Budget original'!$C$8:$AO$496)</f>
        <v>0</v>
      </c>
      <c r="G371" s="302"/>
      <c r="H371" s="178"/>
      <c r="I371" s="177">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original'!$A$8:$A$496=$A372)*('Budget original'!$C$3:$AO$3=F$2),'Budget original'!$C$8:$AO$496)</f>
        <v>0</v>
      </c>
      <c r="G372" s="393"/>
      <c r="H372" s="352"/>
      <c r="I372" s="179">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original'!$A$8:$A$496=$A373)*('Budget original'!$C$3:$AO$3=F$2),'Budget original'!$C$8:$AO$496)</f>
        <v>0</v>
      </c>
      <c r="G373" s="302"/>
      <c r="H373" s="178"/>
      <c r="I373" s="179">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original'!$A$8:$A$496=$A374)*('Budget original'!$C$3:$AO$3=F$2),'Budget original'!$C$8:$AO$496)</f>
        <v>0</v>
      </c>
      <c r="G374" s="302"/>
      <c r="H374" s="178"/>
      <c r="I374" s="179">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original'!$A$8:$A$496=$A375)*('Budget original'!$C$3:$AO$3=F$2),'Budget original'!$C$8:$AO$496)</f>
        <v>0</v>
      </c>
      <c r="G375" s="309"/>
      <c r="H375" s="308"/>
      <c r="I375" s="179">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original'!$A$8:$A$496=$A377)*('Budget original'!$C$3:$AO$3=F$2),'Budget original'!$C$8:$AO$496)</f>
        <v>0</v>
      </c>
      <c r="G377" s="302"/>
      <c r="H377" s="178"/>
      <c r="I377" s="179">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original'!$A$8:$A$496=$A378)*('Budget original'!$C$3:$AO$3=F$2),'Budget original'!$C$8:$AO$496)</f>
        <v>0</v>
      </c>
      <c r="G378" s="302"/>
      <c r="H378" s="178"/>
      <c r="I378" s="179">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original'!$A$8:$A$496=$A379)*('Budget original'!$C$3:$AO$3=F$2),'Budget original'!$C$8:$AO$496)</f>
        <v>0</v>
      </c>
      <c r="G379" s="309"/>
      <c r="H379" s="308"/>
      <c r="I379" s="177">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original'!$A$8:$A$496=$A380)*('Budget original'!$C$3:$AO$3=F$2),'Budget original'!$C$8:$AO$496)</f>
        <v>0</v>
      </c>
      <c r="G380" s="302"/>
      <c r="H380" s="178"/>
      <c r="I380" s="179">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original'!$A$8:$A$496=$A381)*('Budget original'!$C$3:$AO$3=F$2),'Budget original'!$C$8:$AO$496)</f>
        <v>0</v>
      </c>
      <c r="G381" s="302"/>
      <c r="H381" s="178"/>
      <c r="I381" s="179">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original'!$A$8:$A$496=$A382)*('Budget original'!$C$3:$AO$3=F$2),'Budget original'!$C$8:$AO$496)</f>
        <v>0</v>
      </c>
      <c r="G382" s="309"/>
      <c r="H382" s="308"/>
      <c r="I382" s="177">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original'!$A$8:$A$496=$A383)*('Budget original'!$C$3:$AO$3=F$2),'Budget original'!$C$8:$AO$496)</f>
        <v>0</v>
      </c>
      <c r="G383" s="302"/>
      <c r="H383" s="178"/>
      <c r="I383" s="179">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original'!$A$8:$A$496=$A384)*('Budget original'!$C$3:$AO$3=F$2),'Budget original'!$C$8:$AO$496)</f>
        <v>0</v>
      </c>
      <c r="G384" s="302"/>
      <c r="H384" s="178"/>
      <c r="I384" s="179">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original'!$A$8:$A$496=$A385)*('Budget original'!$C$3:$AO$3=F$2),'Budget original'!$C$8:$AO$496)</f>
        <v>0</v>
      </c>
      <c r="G385" s="302"/>
      <c r="H385" s="178"/>
      <c r="I385" s="179">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original'!$A$8:$A$496=$A386)*('Budget original'!$C$3:$AO$3=F$2),'Budget original'!$C$8:$AO$496)</f>
        <v>0</v>
      </c>
      <c r="G386" s="302"/>
      <c r="H386" s="178"/>
      <c r="I386" s="179">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original'!$A$8:$A$496=$A387)*('Budget original'!$C$3:$AO$3=F$2),'Budget original'!$C$8:$AO$496)</f>
        <v>0</v>
      </c>
      <c r="G387" s="302"/>
      <c r="H387" s="178"/>
      <c r="I387" s="179">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original'!$A$8:$A$496=$A388)*('Budget original'!$C$3:$AO$3=F$2),'Budget original'!$C$8:$AO$496)</f>
        <v>0</v>
      </c>
      <c r="G388" s="302"/>
      <c r="H388" s="178"/>
      <c r="I388" s="179">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original'!$A$8:$A$496=$A389)*('Budget original'!$C$3:$AO$3=F$2),'Budget original'!$C$8:$AO$496)</f>
        <v>0</v>
      </c>
      <c r="G389" s="302"/>
      <c r="H389" s="178"/>
      <c r="I389" s="179">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original'!$A$8:$A$496=$A390)*('Budget original'!$C$3:$AO$3=F$2),'Budget original'!$C$8:$AO$496)</f>
        <v>0</v>
      </c>
      <c r="G390" s="302"/>
      <c r="H390" s="178"/>
      <c r="I390" s="179">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original'!$A$8:$A$496=$A391)*('Budget original'!$C$3:$AO$3=F$2),'Budget original'!$C$8:$AO$496)</f>
        <v>0</v>
      </c>
      <c r="G391" s="302"/>
      <c r="H391" s="178"/>
      <c r="I391" s="179">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original'!$A$8:$A$496=$A392)*('Budget original'!$C$3:$AO$3=F$2),'Budget original'!$C$8:$AO$496)</f>
        <v>0</v>
      </c>
      <c r="G392" s="302"/>
      <c r="H392" s="178"/>
      <c r="I392" s="179">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original'!$A$8:$A$496=$A393)*('Budget original'!$C$3:$AO$3=F$2),'Budget original'!$C$8:$AO$496)</f>
        <v>0</v>
      </c>
      <c r="G393" s="309"/>
      <c r="H393" s="308"/>
      <c r="I393" s="179">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97"/>
      <c r="J399" s="369"/>
      <c r="K399" s="369"/>
      <c r="L399" s="1097"/>
      <c r="M399" s="369"/>
      <c r="N399" s="1097"/>
      <c r="O399" s="369"/>
      <c r="P399" s="369"/>
      <c r="Q399" s="1097"/>
      <c r="R399" s="369"/>
      <c r="S399" s="1097"/>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t="s">
        <v>2924</v>
      </c>
      <c r="M400" s="25"/>
      <c r="N400" s="25"/>
      <c r="O400" s="25"/>
      <c r="P400" s="25"/>
      <c r="Q400" s="25"/>
      <c r="R400" s="23" t="s">
        <v>2925</v>
      </c>
      <c r="S400" s="1098"/>
      <c r="T400" s="1098"/>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t="s">
        <v>2926</v>
      </c>
      <c r="M401" s="1099">
        <f>L50</f>
        <v>73689.740000000005</v>
      </c>
      <c r="N401" s="1099"/>
      <c r="O401" s="1099">
        <f>N50</f>
        <v>3965.1579945395933</v>
      </c>
      <c r="P401" s="23"/>
      <c r="Q401" s="1103">
        <f>-O401+(S405*U401)</f>
        <v>-33.177698371243423</v>
      </c>
      <c r="R401" s="23">
        <v>6132</v>
      </c>
      <c r="S401" s="968">
        <v>0.12</v>
      </c>
      <c r="T401" s="968"/>
      <c r="U401" s="1112">
        <f>S401/S404</f>
        <v>0.53097345132743368</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AAD, Juillet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t="s">
        <v>2927</v>
      </c>
      <c r="M402" s="1099">
        <f>L51</f>
        <v>52810.97</v>
      </c>
      <c r="N402" s="1099"/>
      <c r="O402" s="1099">
        <f>N51</f>
        <v>2841.68622942004</v>
      </c>
      <c r="P402" s="1100"/>
      <c r="Q402" s="1103">
        <f>-O402+(S405*U402)</f>
        <v>-23.767017166056576</v>
      </c>
      <c r="R402" s="23">
        <v>6139</v>
      </c>
      <c r="S402" s="1101">
        <v>8.5999999999999993E-2</v>
      </c>
      <c r="T402" s="1101"/>
      <c r="U402" s="1112">
        <f>S402/S404</f>
        <v>0.38053097345132741</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0.088495575221239</v>
      </c>
      <c r="B403" s="165"/>
      <c r="C403" s="23"/>
      <c r="D403" s="23"/>
      <c r="E403" s="23"/>
      <c r="F403" s="23"/>
      <c r="G403" s="23"/>
      <c r="H403" s="23"/>
      <c r="I403" s="23"/>
      <c r="J403" s="23"/>
      <c r="K403" s="23"/>
      <c r="L403" s="23" t="s">
        <v>1252</v>
      </c>
      <c r="M403" s="1099">
        <f>L52</f>
        <v>21281.63</v>
      </c>
      <c r="N403" s="1099"/>
      <c r="O403" s="1099">
        <f>N52</f>
        <v>9660.8663324232657</v>
      </c>
      <c r="P403" s="1100"/>
      <c r="Q403" s="1103">
        <f>-O403+(S405*U403)</f>
        <v>-9005.5362830618742</v>
      </c>
      <c r="R403" s="23">
        <v>6131</v>
      </c>
      <c r="S403" s="1101">
        <v>0.02</v>
      </c>
      <c r="T403" s="1101"/>
      <c r="U403" s="1112">
        <f>S403/S404</f>
        <v>8.8495575221238951E-2</v>
      </c>
      <c r="V403" s="440"/>
      <c r="W403" s="986"/>
      <c r="X403" s="1169" t="s">
        <v>194</v>
      </c>
      <c r="Y403" s="1167"/>
      <c r="Z403" s="1170"/>
      <c r="AA403" s="1166" t="s">
        <v>145</v>
      </c>
      <c r="AB403" s="1167"/>
      <c r="AC403" s="1170"/>
      <c r="AD403" s="1166" t="s">
        <v>79</v>
      </c>
      <c r="AE403" s="1167"/>
      <c r="AF403" s="1170"/>
      <c r="AG403" s="1166" t="s">
        <v>195</v>
      </c>
      <c r="AH403" s="1167"/>
      <c r="AI403" s="1170"/>
      <c r="AJ403" s="1166" t="s">
        <v>196</v>
      </c>
      <c r="AK403" s="1167"/>
      <c r="AL403" s="1167"/>
      <c r="AM403" s="1166" t="s">
        <v>197</v>
      </c>
      <c r="AN403" s="1167"/>
      <c r="AO403" s="1168"/>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199">+U404&amp;V404</f>
        <v/>
      </c>
      <c r="B404" s="165"/>
      <c r="C404" s="23"/>
      <c r="D404" s="23"/>
      <c r="E404" s="23"/>
      <c r="F404" s="23"/>
      <c r="G404" s="23" t="s">
        <v>2928</v>
      </c>
      <c r="H404" s="23"/>
      <c r="I404" s="23"/>
      <c r="J404" s="23"/>
      <c r="K404" s="23"/>
      <c r="L404" s="968"/>
      <c r="M404" s="1102"/>
      <c r="N404" s="23"/>
      <c r="O404" s="1102">
        <f>SUM(O401:O403)</f>
        <v>16467.710556382899</v>
      </c>
      <c r="P404" s="1100"/>
      <c r="Q404" s="1103">
        <f>SUM(Q401:Q403)</f>
        <v>-9062.4809985991742</v>
      </c>
      <c r="R404" s="23"/>
      <c r="S404" s="1101">
        <f>SUM(S401:S403)</f>
        <v>0.22599999999999998</v>
      </c>
      <c r="T404" s="1101"/>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t="s">
        <v>2924</v>
      </c>
      <c r="H405" s="23"/>
      <c r="I405" s="23"/>
      <c r="J405" s="1099">
        <f>L31+L32+L42+L43+L44+L45</f>
        <v>629200.18000000005</v>
      </c>
      <c r="K405" s="23">
        <f t="shared" ref="K405:K410" si="200">J405/$J$410</f>
        <v>0.2869529011002972</v>
      </c>
      <c r="L405" s="23" t="s">
        <v>1949</v>
      </c>
      <c r="M405" s="1099">
        <f>SUM(M401:M403)</f>
        <v>147782.34</v>
      </c>
      <c r="N405" s="1104">
        <f>M405/$M$439</f>
        <v>0.30569935335619292</v>
      </c>
      <c r="O405" s="1104">
        <f>K405</f>
        <v>0.2869529011002972</v>
      </c>
      <c r="P405" s="1100">
        <f>O405*$M$439</f>
        <v>138719.85900140082</v>
      </c>
      <c r="Q405" s="1103">
        <f>P405-M405</f>
        <v>-9062.4809985991742</v>
      </c>
      <c r="R405" s="79"/>
      <c r="S405" s="1101">
        <f>O404+Q405</f>
        <v>7405.2295577837249</v>
      </c>
      <c r="T405" s="1101"/>
      <c r="U405" s="79"/>
      <c r="V405" s="306" t="s">
        <v>88</v>
      </c>
      <c r="W405" s="445"/>
      <c r="X405" s="445"/>
      <c r="Y405" s="445"/>
      <c r="Z405" s="446">
        <f>F5+F93+E193+E249+D313+D361</f>
        <v>17681509.429960456</v>
      </c>
      <c r="AA405" s="445"/>
      <c r="AB405" s="445"/>
      <c r="AC405" s="446">
        <f>I5+I93+H193+H249+G313+G361</f>
        <v>17681509.429960456</v>
      </c>
      <c r="AD405" s="447"/>
      <c r="AE405" s="448"/>
      <c r="AF405" s="448">
        <f>L5+L93+K193+K249+J313+J361</f>
        <v>32522872.629999999</v>
      </c>
      <c r="AG405" s="447"/>
      <c r="AH405" s="448"/>
      <c r="AI405" s="449"/>
      <c r="AJ405" s="447"/>
      <c r="AK405" s="448"/>
      <c r="AL405" s="448">
        <f>Q5+Q93+P193+P249+O313+O361</f>
        <v>29610900.360000003</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0.530973451327434Profit brut</v>
      </c>
      <c r="B406" s="165"/>
      <c r="C406" s="23"/>
      <c r="D406" s="23"/>
      <c r="E406" s="23"/>
      <c r="F406" s="23"/>
      <c r="G406" s="23" t="s">
        <v>1949</v>
      </c>
      <c r="H406" s="23"/>
      <c r="I406" s="23"/>
      <c r="J406" s="1099">
        <f>L111+L112+L122+L123+L124+L125</f>
        <v>400838.77999999991</v>
      </c>
      <c r="K406" s="23">
        <f t="shared" si="200"/>
        <v>0.18280644928376172</v>
      </c>
      <c r="L406" s="23" t="s">
        <v>2926</v>
      </c>
      <c r="M406" s="1099">
        <f>L130</f>
        <v>40630.29</v>
      </c>
      <c r="N406" s="1099"/>
      <c r="O406" s="1099">
        <f>N130</f>
        <v>3043.7440960075837</v>
      </c>
      <c r="P406" s="1100"/>
      <c r="Q406" s="1103">
        <f>-O406+(S410*U406)</f>
        <v>6293.4196721409899</v>
      </c>
      <c r="R406" s="79">
        <v>6232</v>
      </c>
      <c r="S406" s="968">
        <v>0.12</v>
      </c>
      <c r="T406" s="968"/>
      <c r="U406" s="1112">
        <f>S406/S409</f>
        <v>0.53097345132743368</v>
      </c>
      <c r="V406" s="452" t="s">
        <v>205</v>
      </c>
      <c r="W406" s="81"/>
      <c r="X406" s="81"/>
      <c r="Y406" s="81"/>
      <c r="Z406" s="82">
        <f>F27+F107+F193+F249+F313+F361</f>
        <v>3641180.2689636284</v>
      </c>
      <c r="AA406" s="81"/>
      <c r="AB406" s="81"/>
      <c r="AC406" s="82">
        <f>I27+I107+I193+I249+I313+I361</f>
        <v>3641180.2689636284</v>
      </c>
      <c r="AD406" s="83"/>
      <c r="AE406" s="84"/>
      <c r="AF406" s="84">
        <f>L27+L107+L193+L249+L313+L361</f>
        <v>3810761.01</v>
      </c>
      <c r="AG406" s="83"/>
      <c r="AH406" s="84">
        <f>AF406-AC406</f>
        <v>169580.74103637133</v>
      </c>
      <c r="AI406" s="85">
        <f>AH406/AC406</f>
        <v>4.6573014382679349E-2</v>
      </c>
      <c r="AJ406" s="83"/>
      <c r="AK406" s="84"/>
      <c r="AL406" s="84">
        <f>Q27+Q107+Q193+Q249+Q313+Q361</f>
        <v>3250586.5599999996</v>
      </c>
      <c r="AM406" s="86"/>
      <c r="AN406" s="84">
        <f>AF406-AL406</f>
        <v>560174.45000000019</v>
      </c>
      <c r="AO406" s="453">
        <f>IF(AL406=0,0,AN406/AL406)</f>
        <v>0.17233026706416957</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0.380530973451327DÉPENSES</v>
      </c>
      <c r="B407" s="165"/>
      <c r="C407" s="23"/>
      <c r="D407" s="23"/>
      <c r="E407" s="23"/>
      <c r="F407" s="23"/>
      <c r="G407" s="23" t="s">
        <v>155</v>
      </c>
      <c r="H407" s="23"/>
      <c r="I407" s="23"/>
      <c r="J407" s="57">
        <f>(K193-L193)+L197+L198+L199+L200</f>
        <v>898062.87000000011</v>
      </c>
      <c r="K407" s="23">
        <f t="shared" si="200"/>
        <v>0.40957036267370273</v>
      </c>
      <c r="L407" s="23" t="s">
        <v>2927</v>
      </c>
      <c r="M407" s="1099">
        <f>L131</f>
        <v>29118.37</v>
      </c>
      <c r="N407" s="1099"/>
      <c r="O407" s="1099">
        <f>N131</f>
        <v>2181.3454354720998</v>
      </c>
      <c r="P407" s="1100"/>
      <c r="Q407" s="1103">
        <f>-O407+(S410*U407)</f>
        <v>4510.2885983677106</v>
      </c>
      <c r="R407" s="79">
        <v>6239</v>
      </c>
      <c r="S407" s="1101">
        <v>8.5999999999999993E-2</v>
      </c>
      <c r="T407" s="1101"/>
      <c r="U407" s="1112">
        <f>S407/S409</f>
        <v>0.38053097345132741</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0.088495575221239Comm. vendeurs</v>
      </c>
      <c r="B408" s="165"/>
      <c r="C408" s="23"/>
      <c r="D408" s="23"/>
      <c r="E408" s="23"/>
      <c r="F408" s="23"/>
      <c r="G408" s="23" t="s">
        <v>2929</v>
      </c>
      <c r="H408" s="23"/>
      <c r="I408" s="23"/>
      <c r="J408" s="1099">
        <f>L253+L254+L255+L256</f>
        <v>52088.17</v>
      </c>
      <c r="K408" s="23">
        <f t="shared" si="200"/>
        <v>2.3755319800616497E-2</v>
      </c>
      <c r="L408" s="23" t="s">
        <v>1252</v>
      </c>
      <c r="M408" s="1099">
        <f>L132</f>
        <v>6771.71</v>
      </c>
      <c r="N408" s="1099"/>
      <c r="O408" s="1099">
        <f>N132</f>
        <v>507.2856826679299</v>
      </c>
      <c r="P408" s="1100"/>
      <c r="Q408" s="1103">
        <f>-O408+(S410*U408)</f>
        <v>1048.9082786901658</v>
      </c>
      <c r="R408" s="79">
        <v>6231</v>
      </c>
      <c r="S408" s="1101">
        <v>0.02</v>
      </c>
      <c r="T408" s="1101"/>
      <c r="U408" s="1112">
        <f>S408/S409</f>
        <v>8.8495575221238951E-2</v>
      </c>
      <c r="V408" s="305" t="s">
        <v>103</v>
      </c>
      <c r="W408" s="460" t="s">
        <v>207</v>
      </c>
      <c r="X408" s="455"/>
      <c r="Y408" s="461">
        <f t="shared" ref="Y408:Y414" si="201">Z408/(D$13+D$96)</f>
        <v>432.29866539435585</v>
      </c>
      <c r="Z408" s="87">
        <f t="shared" ref="Z408:Z417" si="202">+SUMIF($C:$C,$V408,F:F)</f>
        <v>272443.60367744649</v>
      </c>
      <c r="AA408" s="455"/>
      <c r="AB408" s="461">
        <f t="shared" ref="AB408:AB414" si="203">IF(AC408=0,0,AC408/(G$13+G$96))</f>
        <v>432.29866539435585</v>
      </c>
      <c r="AC408" s="87">
        <f t="shared" ref="AC408:AC417" si="204">+SUMIF($C:$C,$V408,I:I)</f>
        <v>272443.60367744649</v>
      </c>
      <c r="AD408" s="462"/>
      <c r="AE408" s="461">
        <f t="shared" ref="AE408:AE413" si="205">IF(AF408=0,0,AF408/(J$13+J$96))</f>
        <v>603.74910094637221</v>
      </c>
      <c r="AF408" s="87">
        <f t="shared" ref="AF408:AF417" si="206">+SUMIF($C:$C,$V408,L:L)</f>
        <v>382776.93</v>
      </c>
      <c r="AG408" s="456">
        <f t="shared" ref="AG408:AH413" si="207">AE408-AB408</f>
        <v>171.45043555201636</v>
      </c>
      <c r="AH408" s="457">
        <f t="shared" si="207"/>
        <v>110333.3263225535</v>
      </c>
      <c r="AI408" s="458">
        <f>IF(AC408=0,0,AH408/AC408)</f>
        <v>0.40497675420994717</v>
      </c>
      <c r="AJ408" s="462"/>
      <c r="AK408" s="457">
        <f t="shared" ref="AK408:AK414" si="208">AL408/(O$13+O$96)</f>
        <v>447.64159154929575</v>
      </c>
      <c r="AL408" s="87">
        <f t="shared" ref="AL408:AL417" si="209">+SUMIF($C:$C,$V408,Q:Q)</f>
        <v>317825.52999999997</v>
      </c>
      <c r="AM408" s="459">
        <f t="shared" ref="AM408:AM413" si="210">AE408-Y408</f>
        <v>171.45043555201636</v>
      </c>
      <c r="AN408" s="457">
        <f t="shared" ref="AN408:AN430" si="211">AF408-AL408</f>
        <v>64951.400000000023</v>
      </c>
      <c r="AO408" s="214">
        <f>IF(AL408=0,0,AN408/AL408)</f>
        <v>0.20436180819080213</v>
      </c>
      <c r="AP408" s="79"/>
      <c r="AQ408" s="79"/>
      <c r="AR408" s="165"/>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t="s">
        <v>2930</v>
      </c>
      <c r="H409" s="23"/>
      <c r="I409" s="23"/>
      <c r="J409" s="1099">
        <f>L317+L318+L319+L320</f>
        <v>212504.95999999999</v>
      </c>
      <c r="K409" s="23">
        <f t="shared" si="200"/>
        <v>9.6914967141621927E-2</v>
      </c>
      <c r="L409" s="968"/>
      <c r="M409" s="1102">
        <f>SUM(M406:M408)</f>
        <v>76520.37000000001</v>
      </c>
      <c r="N409" s="1102"/>
      <c r="O409" s="1102">
        <f t="shared" ref="O409" si="212">SUM(O406:O408)</f>
        <v>5732.3752141476134</v>
      </c>
      <c r="P409" s="968"/>
      <c r="Q409" s="1103">
        <f>SUM(Q406:Q408)</f>
        <v>11852.616549198867</v>
      </c>
      <c r="R409" s="79"/>
      <c r="S409" s="1101">
        <f>SUM(S406:S408)</f>
        <v>0.22599999999999998</v>
      </c>
      <c r="T409" s="1101"/>
      <c r="U409" s="23"/>
      <c r="V409" s="306" t="s">
        <v>104</v>
      </c>
      <c r="W409" s="463" t="s">
        <v>208</v>
      </c>
      <c r="X409" s="445"/>
      <c r="Y409" s="464">
        <f t="shared" si="201"/>
        <v>360.41118182617919</v>
      </c>
      <c r="Z409" s="446">
        <f t="shared" si="202"/>
        <v>227138.61744818997</v>
      </c>
      <c r="AA409" s="445"/>
      <c r="AB409" s="464">
        <f t="shared" si="203"/>
        <v>360.41118182617919</v>
      </c>
      <c r="AC409" s="446">
        <f t="shared" si="204"/>
        <v>227138.61744818997</v>
      </c>
      <c r="AD409" s="465"/>
      <c r="AE409" s="464">
        <f t="shared" si="205"/>
        <v>394.59564668769718</v>
      </c>
      <c r="AF409" s="446">
        <f t="shared" si="206"/>
        <v>250173.64</v>
      </c>
      <c r="AG409" s="447">
        <f t="shared" si="207"/>
        <v>34.184464861517995</v>
      </c>
      <c r="AH409" s="448">
        <f t="shared" si="207"/>
        <v>23035.022551810049</v>
      </c>
      <c r="AI409" s="466">
        <f t="shared" ref="AI409:AI413" si="213">IF(AC409=0,0,AH409/AC409)</f>
        <v>0.10141394189415769</v>
      </c>
      <c r="AJ409" s="465"/>
      <c r="AK409" s="448">
        <f t="shared" si="208"/>
        <v>270.86954929577468</v>
      </c>
      <c r="AL409" s="446">
        <f t="shared" si="209"/>
        <v>192317.38</v>
      </c>
      <c r="AM409" s="450">
        <f t="shared" si="210"/>
        <v>34.184464861517995</v>
      </c>
      <c r="AN409" s="448">
        <f t="shared" si="211"/>
        <v>57856.260000000009</v>
      </c>
      <c r="AO409" s="215">
        <f t="shared" ref="AO409:AO413" si="214">IF(AL409=0,0,AN409/AL409)</f>
        <v>0.300837397015288</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099">
        <f>SUM(J405:J409)</f>
        <v>2192694.96</v>
      </c>
      <c r="K410" s="23">
        <f t="shared" si="200"/>
        <v>1</v>
      </c>
      <c r="L410" s="23" t="s">
        <v>155</v>
      </c>
      <c r="M410" s="1102">
        <f>SUM(M406:M408)</f>
        <v>76520.37000000001</v>
      </c>
      <c r="N410" s="1104">
        <f>M409/$M$439</f>
        <v>0.15828838295277115</v>
      </c>
      <c r="O410" s="1104">
        <f>K406</f>
        <v>0.18280644928376172</v>
      </c>
      <c r="P410" s="1100">
        <f>O410*$M$439</f>
        <v>88372.986549198875</v>
      </c>
      <c r="Q410" s="1103">
        <f>P410-M409</f>
        <v>11852.616549198865</v>
      </c>
      <c r="R410" s="79"/>
      <c r="S410" s="1101">
        <f>O409+Q410</f>
        <v>17584.991763346479</v>
      </c>
      <c r="T410" s="1101"/>
      <c r="U410" s="79"/>
      <c r="V410" s="305" t="s">
        <v>105</v>
      </c>
      <c r="W410" s="460" t="s">
        <v>209</v>
      </c>
      <c r="X410" s="455"/>
      <c r="Y410" s="461">
        <f t="shared" si="201"/>
        <v>162.21256632541062</v>
      </c>
      <c r="Z410" s="87">
        <f t="shared" si="202"/>
        <v>102229.73066814069</v>
      </c>
      <c r="AA410" s="455"/>
      <c r="AB410" s="461">
        <f t="shared" si="203"/>
        <v>162.21256632541062</v>
      </c>
      <c r="AC410" s="87">
        <f t="shared" si="204"/>
        <v>102229.73066814069</v>
      </c>
      <c r="AD410" s="462"/>
      <c r="AE410" s="461">
        <f t="shared" si="205"/>
        <v>134.85574132492115</v>
      </c>
      <c r="AF410" s="87">
        <f t="shared" si="206"/>
        <v>85498.540000000008</v>
      </c>
      <c r="AG410" s="456">
        <f t="shared" si="207"/>
        <v>-27.356825000489465</v>
      </c>
      <c r="AH410" s="457">
        <f t="shared" si="207"/>
        <v>-16731.190668140684</v>
      </c>
      <c r="AI410" s="458">
        <f t="shared" si="213"/>
        <v>-0.16366266993751225</v>
      </c>
      <c r="AJ410" s="462"/>
      <c r="AK410" s="457">
        <f t="shared" si="208"/>
        <v>146.94894366197184</v>
      </c>
      <c r="AL410" s="87">
        <f t="shared" si="209"/>
        <v>104333.75</v>
      </c>
      <c r="AM410" s="459">
        <f t="shared" si="210"/>
        <v>-27.356825000489465</v>
      </c>
      <c r="AN410" s="457">
        <f t="shared" si="211"/>
        <v>-18835.209999999992</v>
      </c>
      <c r="AO410" s="214">
        <f t="shared" si="214"/>
        <v>-0.18052844836881635</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0.530973451327434Service gratuit 1</v>
      </c>
      <c r="B411" s="165"/>
      <c r="C411" s="23"/>
      <c r="D411" s="23"/>
      <c r="E411" s="23"/>
      <c r="F411" s="23"/>
      <c r="G411" s="23"/>
      <c r="H411" s="23"/>
      <c r="I411" s="23"/>
      <c r="J411" s="23"/>
      <c r="K411" s="23"/>
      <c r="L411" s="23" t="s">
        <v>2926</v>
      </c>
      <c r="M411" s="1099">
        <f>L205</f>
        <v>105788.29</v>
      </c>
      <c r="N411" s="1099"/>
      <c r="O411" s="1099">
        <f>N205</f>
        <v>-11923.326439645767</v>
      </c>
      <c r="P411" s="1100"/>
      <c r="Q411" s="1103">
        <f>-O411+(S418*U411)</f>
        <v>-657.64026793139601</v>
      </c>
      <c r="R411" s="79">
        <v>6432</v>
      </c>
      <c r="S411" s="968">
        <v>0.12</v>
      </c>
      <c r="T411" s="968"/>
      <c r="U411" s="1112">
        <f>S411/S414</f>
        <v>0.53097345132743368</v>
      </c>
      <c r="V411" s="305" t="s">
        <v>106</v>
      </c>
      <c r="W411" s="460" t="s">
        <v>210</v>
      </c>
      <c r="X411" s="455"/>
      <c r="Y411" s="461">
        <f t="shared" si="201"/>
        <v>39.903581944701244</v>
      </c>
      <c r="Z411" s="87">
        <f t="shared" si="202"/>
        <v>25148.066683794659</v>
      </c>
      <c r="AA411" s="455"/>
      <c r="AB411" s="461">
        <f t="shared" si="203"/>
        <v>39.903581944701244</v>
      </c>
      <c r="AC411" s="87">
        <f t="shared" si="204"/>
        <v>25148.066683794659</v>
      </c>
      <c r="AD411" s="462"/>
      <c r="AE411" s="461">
        <f t="shared" si="205"/>
        <v>14.046940063091483</v>
      </c>
      <c r="AF411" s="87">
        <f t="shared" si="206"/>
        <v>8905.76</v>
      </c>
      <c r="AG411" s="456">
        <f t="shared" si="207"/>
        <v>-25.856641881609761</v>
      </c>
      <c r="AH411" s="457">
        <f t="shared" si="207"/>
        <v>-16242.306683794659</v>
      </c>
      <c r="AI411" s="458">
        <f t="shared" si="213"/>
        <v>-0.64586701188688811</v>
      </c>
      <c r="AJ411" s="462"/>
      <c r="AK411" s="457">
        <f t="shared" si="208"/>
        <v>17.923239436619717</v>
      </c>
      <c r="AL411" s="87">
        <f t="shared" si="209"/>
        <v>12725.5</v>
      </c>
      <c r="AM411" s="459">
        <f t="shared" si="210"/>
        <v>-25.856641881609761</v>
      </c>
      <c r="AN411" s="457">
        <f t="shared" si="211"/>
        <v>-3819.74</v>
      </c>
      <c r="AO411" s="216">
        <f t="shared" si="214"/>
        <v>-0.30016423716160462</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0.380530973451327Entretien stock</v>
      </c>
      <c r="B412" s="165"/>
      <c r="C412" s="23"/>
      <c r="D412" s="23"/>
      <c r="E412" s="23"/>
      <c r="F412" s="23"/>
      <c r="G412" s="23"/>
      <c r="H412" s="23"/>
      <c r="I412" s="23"/>
      <c r="J412" s="23"/>
      <c r="K412" s="23"/>
      <c r="L412" s="23" t="s">
        <v>2927</v>
      </c>
      <c r="M412" s="1099">
        <f>L206</f>
        <v>75814.929999999993</v>
      </c>
      <c r="N412" s="1099"/>
      <c r="O412" s="1099">
        <f>N206</f>
        <v>-8545.0617817461607</v>
      </c>
      <c r="P412" s="1100"/>
      <c r="Q412" s="1103">
        <f>-O412+(S418*U412)</f>
        <v>-471.29769201747149</v>
      </c>
      <c r="R412" s="79">
        <v>6439</v>
      </c>
      <c r="S412" s="1101">
        <v>8.5999999999999993E-2</v>
      </c>
      <c r="T412" s="1101"/>
      <c r="U412" s="1112">
        <f>S412/S414</f>
        <v>0.38053097345132741</v>
      </c>
      <c r="V412" s="306" t="s">
        <v>107</v>
      </c>
      <c r="W412" s="463"/>
      <c r="X412" s="445"/>
      <c r="Y412" s="464">
        <f t="shared" si="201"/>
        <v>45.478484862512595</v>
      </c>
      <c r="Z412" s="446">
        <f t="shared" si="202"/>
        <v>28661.486369453178</v>
      </c>
      <c r="AA412" s="445"/>
      <c r="AB412" s="464">
        <f t="shared" si="203"/>
        <v>45.478484862512595</v>
      </c>
      <c r="AC412" s="446">
        <f t="shared" si="204"/>
        <v>28661.486369453178</v>
      </c>
      <c r="AD412" s="465"/>
      <c r="AE412" s="464">
        <f t="shared" si="205"/>
        <v>43.310630914826504</v>
      </c>
      <c r="AF412" s="446">
        <f t="shared" si="206"/>
        <v>27458.940000000002</v>
      </c>
      <c r="AG412" s="447">
        <f t="shared" si="207"/>
        <v>-2.1678539476860905</v>
      </c>
      <c r="AH412" s="448">
        <f t="shared" si="207"/>
        <v>-1202.5463694531754</v>
      </c>
      <c r="AI412" s="466">
        <f t="shared" si="213"/>
        <v>-4.1956873902214108E-2</v>
      </c>
      <c r="AJ412" s="465"/>
      <c r="AK412" s="448">
        <f t="shared" si="208"/>
        <v>41.132619718309861</v>
      </c>
      <c r="AL412" s="446">
        <f t="shared" si="209"/>
        <v>29204.160000000003</v>
      </c>
      <c r="AM412" s="450">
        <f t="shared" si="210"/>
        <v>-2.1678539476860905</v>
      </c>
      <c r="AN412" s="448">
        <f t="shared" si="211"/>
        <v>-1745.2200000000012</v>
      </c>
      <c r="AO412" s="215">
        <f t="shared" si="214"/>
        <v>-5.9759294566253611E-2</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0.088495575221239Publicité 1</v>
      </c>
      <c r="B413" s="165"/>
      <c r="C413" s="23"/>
      <c r="D413" s="23"/>
      <c r="E413" s="23"/>
      <c r="F413" s="23"/>
      <c r="G413" s="23"/>
      <c r="H413" s="23"/>
      <c r="I413" s="23"/>
      <c r="J413" s="23"/>
      <c r="K413" s="23"/>
      <c r="L413" s="23" t="s">
        <v>1252</v>
      </c>
      <c r="M413" s="1099">
        <f>L207</f>
        <v>17631.39</v>
      </c>
      <c r="N413" s="1099"/>
      <c r="O413" s="1099">
        <f>N207</f>
        <v>-1987.2127399409655</v>
      </c>
      <c r="P413" s="1100"/>
      <c r="Q413" s="1103">
        <f>-O413+(S418*U413)</f>
        <v>-109.6150446552283</v>
      </c>
      <c r="R413" s="79">
        <v>6431</v>
      </c>
      <c r="S413" s="1101">
        <v>0.02</v>
      </c>
      <c r="T413" s="1101"/>
      <c r="U413" s="1112">
        <f>S413/S414</f>
        <v>8.8495575221238951E-2</v>
      </c>
      <c r="V413" s="305" t="s">
        <v>108</v>
      </c>
      <c r="W413" s="460" t="s">
        <v>211</v>
      </c>
      <c r="X413" s="458"/>
      <c r="Y413" s="461">
        <f t="shared" si="201"/>
        <v>141.28547847515762</v>
      </c>
      <c r="Z413" s="87">
        <f t="shared" si="202"/>
        <v>89041.044963556342</v>
      </c>
      <c r="AA413" s="458"/>
      <c r="AB413" s="461">
        <f t="shared" si="203"/>
        <v>141.28547847515762</v>
      </c>
      <c r="AC413" s="87">
        <f t="shared" si="204"/>
        <v>89041.044963556342</v>
      </c>
      <c r="AD413" s="462"/>
      <c r="AE413" s="461">
        <f t="shared" si="205"/>
        <v>143.71735015772867</v>
      </c>
      <c r="AF413" s="87">
        <f t="shared" si="206"/>
        <v>91116.799999999988</v>
      </c>
      <c r="AG413" s="456">
        <f t="shared" si="207"/>
        <v>2.4318716825710567</v>
      </c>
      <c r="AH413" s="457">
        <f t="shared" si="207"/>
        <v>2075.7550364436465</v>
      </c>
      <c r="AI413" s="458">
        <f t="shared" si="213"/>
        <v>2.3312339127345524E-2</v>
      </c>
      <c r="AJ413" s="462"/>
      <c r="AK413" s="457">
        <f t="shared" si="208"/>
        <v>124.50704225352112</v>
      </c>
      <c r="AL413" s="87">
        <f t="shared" si="209"/>
        <v>88400</v>
      </c>
      <c r="AM413" s="459">
        <f t="shared" si="210"/>
        <v>2.4318716825710567</v>
      </c>
      <c r="AN413" s="457">
        <f t="shared" si="211"/>
        <v>2716.7999999999884</v>
      </c>
      <c r="AO413" s="214">
        <f t="shared" si="214"/>
        <v>3.0733031674208013E-2</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t="s">
        <v>2926</v>
      </c>
      <c r="H414" s="23"/>
      <c r="I414" s="23"/>
      <c r="J414" s="23"/>
      <c r="K414" s="23"/>
      <c r="L414" s="23"/>
      <c r="M414" s="1099">
        <f>SUM(M411:M413)</f>
        <v>199234.61</v>
      </c>
      <c r="N414" s="1099"/>
      <c r="O414" s="1099">
        <f t="shared" ref="O414" si="215">SUM(O411:O413)</f>
        <v>-22455.600961332893</v>
      </c>
      <c r="P414" s="968"/>
      <c r="Q414" s="1103">
        <f>SUM(Q411:Q413)</f>
        <v>-1238.5530046040958</v>
      </c>
      <c r="R414" s="79"/>
      <c r="S414" s="1101">
        <f>SUM(S411:S413)</f>
        <v>0.22599999999999998</v>
      </c>
      <c r="T414" s="1101"/>
      <c r="U414" s="23"/>
      <c r="V414" s="305" t="s">
        <v>109</v>
      </c>
      <c r="W414" s="460" t="s">
        <v>212</v>
      </c>
      <c r="X414" s="455"/>
      <c r="Y414" s="461">
        <f t="shared" si="201"/>
        <v>177.47599612188449</v>
      </c>
      <c r="Z414" s="87">
        <f t="shared" si="202"/>
        <v>111849.06135572359</v>
      </c>
      <c r="AA414" s="455"/>
      <c r="AB414" s="461">
        <f t="shared" si="203"/>
        <v>177.47599612188449</v>
      </c>
      <c r="AC414" s="87">
        <f t="shared" si="204"/>
        <v>111849.06135572359</v>
      </c>
      <c r="AD414" s="462"/>
      <c r="AE414" s="461">
        <f>IF(AF414=0,0,AF414/(J$13+J$13))</f>
        <v>123.10623393316195</v>
      </c>
      <c r="AF414" s="87">
        <f t="shared" si="206"/>
        <v>95776.65</v>
      </c>
      <c r="AG414" s="456">
        <f t="shared" ref="AG414" si="216">AE414-AB414</f>
        <v>-54.369762188722547</v>
      </c>
      <c r="AH414" s="457">
        <f t="shared" ref="AH414" si="217">AF414-AC414</f>
        <v>-16072.411355723598</v>
      </c>
      <c r="AI414" s="458">
        <f t="shared" ref="AI414" si="218">IF(AC414=0,0,AH414/AC414)</f>
        <v>-0.14369732889046846</v>
      </c>
      <c r="AJ414" s="462"/>
      <c r="AK414" s="457">
        <f t="shared" si="208"/>
        <v>198.57259154929579</v>
      </c>
      <c r="AL414" s="87">
        <f t="shared" si="209"/>
        <v>140986.54</v>
      </c>
      <c r="AM414" s="459">
        <f t="shared" ref="AM414" si="219">AE414-Y414</f>
        <v>-54.369762188722547</v>
      </c>
      <c r="AN414" s="457">
        <f t="shared" ref="AN414" si="220">AF414-AL414</f>
        <v>-45209.890000000014</v>
      </c>
      <c r="AO414" s="214">
        <f t="shared" ref="AO414" si="221">IF(AL414=0,0,AN414/AL414)</f>
        <v>-0.32066812902848746</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t="s">
        <v>1252</v>
      </c>
      <c r="M415" s="23"/>
      <c r="N415" s="23"/>
      <c r="O415" s="1104"/>
      <c r="P415" s="1100"/>
      <c r="Q415" s="1103"/>
      <c r="R415" s="79"/>
      <c r="S415" s="1101">
        <f>O414+Q415</f>
        <v>-22455.600961332893</v>
      </c>
      <c r="T415" s="1101"/>
      <c r="U415" s="79"/>
      <c r="V415" s="305" t="s">
        <v>42</v>
      </c>
      <c r="W415" s="460"/>
      <c r="X415" s="458"/>
      <c r="Y415" s="461">
        <f t="shared" ref="Y415:Y417" si="222">Z415/(D$13+D$96)</f>
        <v>0</v>
      </c>
      <c r="Z415" s="87">
        <f t="shared" si="202"/>
        <v>0</v>
      </c>
      <c r="AA415" s="455"/>
      <c r="AB415" s="461">
        <f t="shared" ref="AB415:AB417" si="223">IF(AC415=0,0,AC415/(G$13+G$96))</f>
        <v>0</v>
      </c>
      <c r="AC415" s="87">
        <f t="shared" si="204"/>
        <v>0</v>
      </c>
      <c r="AD415" s="462"/>
      <c r="AE415" s="461">
        <f t="shared" ref="AE415:AE417" si="224">IF(AF415=0,0,AF415/(J$13+J$13))</f>
        <v>0</v>
      </c>
      <c r="AF415" s="87">
        <f t="shared" si="206"/>
        <v>0</v>
      </c>
      <c r="AG415" s="456">
        <f t="shared" ref="AG415:AG417" si="225">AE415-AB415</f>
        <v>0</v>
      </c>
      <c r="AH415" s="457">
        <f t="shared" ref="AH415:AH417" si="226">AF415-AC415</f>
        <v>0</v>
      </c>
      <c r="AI415" s="458">
        <f t="shared" ref="AI415:AI417" si="227">IF(AC415=0,0,AH415/AC415)</f>
        <v>0</v>
      </c>
      <c r="AJ415" s="462"/>
      <c r="AK415" s="457">
        <f t="shared" ref="AK415:AK417" si="228">AL415/(O$13+O$96)</f>
        <v>0</v>
      </c>
      <c r="AL415" s="87">
        <f t="shared" si="209"/>
        <v>0</v>
      </c>
      <c r="AM415" s="459">
        <f t="shared" ref="AM415:AM417" si="229">AE415-Y415</f>
        <v>0</v>
      </c>
      <c r="AN415" s="457">
        <f t="shared" ref="AN415:AN417" si="230">AF415-AL415</f>
        <v>0</v>
      </c>
      <c r="AO415" s="214">
        <f t="shared" ref="AO415:AO417" si="231">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104"/>
      <c r="P416" s="1100"/>
      <c r="Q416" s="1103"/>
      <c r="R416" s="79"/>
      <c r="S416" s="1101"/>
      <c r="T416" s="1101"/>
      <c r="U416" s="79"/>
      <c r="V416" s="305" t="s">
        <v>42</v>
      </c>
      <c r="W416" s="460"/>
      <c r="X416" s="458"/>
      <c r="Y416" s="461">
        <f t="shared" si="222"/>
        <v>0</v>
      </c>
      <c r="Z416" s="87">
        <f t="shared" si="202"/>
        <v>0</v>
      </c>
      <c r="AA416" s="455"/>
      <c r="AB416" s="461">
        <f t="shared" si="223"/>
        <v>0</v>
      </c>
      <c r="AC416" s="87">
        <f t="shared" si="204"/>
        <v>0</v>
      </c>
      <c r="AD416" s="462"/>
      <c r="AE416" s="461">
        <f t="shared" si="224"/>
        <v>0</v>
      </c>
      <c r="AF416" s="87">
        <f t="shared" si="206"/>
        <v>0</v>
      </c>
      <c r="AG416" s="456">
        <f t="shared" si="225"/>
        <v>0</v>
      </c>
      <c r="AH416" s="457">
        <f t="shared" si="226"/>
        <v>0</v>
      </c>
      <c r="AI416" s="458">
        <f t="shared" si="227"/>
        <v>0</v>
      </c>
      <c r="AJ416" s="462"/>
      <c r="AK416" s="457">
        <f t="shared" si="228"/>
        <v>0</v>
      </c>
      <c r="AL416" s="87">
        <f t="shared" si="209"/>
        <v>0</v>
      </c>
      <c r="AM416" s="459">
        <f t="shared" si="229"/>
        <v>0</v>
      </c>
      <c r="AN416" s="457">
        <f t="shared" si="230"/>
        <v>0</v>
      </c>
      <c r="AO416" s="214">
        <f t="shared" si="231"/>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104"/>
      <c r="P417" s="1100"/>
      <c r="Q417" s="1103"/>
      <c r="R417" s="79"/>
      <c r="S417" s="1101"/>
      <c r="T417" s="1101"/>
      <c r="U417" s="79"/>
      <c r="V417" s="305" t="s">
        <v>42</v>
      </c>
      <c r="W417" s="460" t="s">
        <v>212</v>
      </c>
      <c r="X417" s="455"/>
      <c r="Y417" s="461">
        <f t="shared" si="222"/>
        <v>0</v>
      </c>
      <c r="Z417" s="87">
        <f t="shared" si="202"/>
        <v>0</v>
      </c>
      <c r="AA417" s="455"/>
      <c r="AB417" s="461">
        <f t="shared" si="223"/>
        <v>0</v>
      </c>
      <c r="AC417" s="87">
        <f t="shared" si="204"/>
        <v>0</v>
      </c>
      <c r="AD417" s="462"/>
      <c r="AE417" s="461">
        <f t="shared" si="224"/>
        <v>0</v>
      </c>
      <c r="AF417" s="87">
        <f t="shared" si="206"/>
        <v>0</v>
      </c>
      <c r="AG417" s="456">
        <f t="shared" si="225"/>
        <v>0</v>
      </c>
      <c r="AH417" s="457">
        <f t="shared" si="226"/>
        <v>0</v>
      </c>
      <c r="AI417" s="458">
        <f t="shared" si="227"/>
        <v>0</v>
      </c>
      <c r="AJ417" s="462"/>
      <c r="AK417" s="457">
        <f t="shared" si="228"/>
        <v>0</v>
      </c>
      <c r="AL417" s="87">
        <f t="shared" si="209"/>
        <v>0</v>
      </c>
      <c r="AM417" s="459">
        <f t="shared" si="229"/>
        <v>0</v>
      </c>
      <c r="AN417" s="457">
        <f t="shared" si="230"/>
        <v>0</v>
      </c>
      <c r="AO417" s="214">
        <f t="shared" si="231"/>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t="s">
        <v>2931</v>
      </c>
      <c r="H418" s="23"/>
      <c r="I418" s="23"/>
      <c r="J418" s="23"/>
      <c r="K418" s="23"/>
      <c r="L418" s="23" t="s">
        <v>2929</v>
      </c>
      <c r="M418" s="1099">
        <f>SUM(M411:M413)</f>
        <v>199234.61</v>
      </c>
      <c r="N418" s="1104">
        <f>M414/$M$439</f>
        <v>0.41213240664055856</v>
      </c>
      <c r="O418" s="1104">
        <f>K407</f>
        <v>0.40957036267370273</v>
      </c>
      <c r="P418" s="1100">
        <f>O418*$M$439</f>
        <v>197996.05699539589</v>
      </c>
      <c r="Q418" s="1103">
        <f>P418-M414</f>
        <v>-1238.5530046040949</v>
      </c>
      <c r="R418" s="79"/>
      <c r="S418" s="1101">
        <f>O414+Q418</f>
        <v>-23694.153965936988</v>
      </c>
      <c r="T418" s="1101"/>
      <c r="U418" s="79"/>
      <c r="V418" s="467" t="s">
        <v>110</v>
      </c>
      <c r="W418" s="88"/>
      <c r="X418" s="89">
        <f>Z418/Z406</f>
        <v>0.23522911470958005</v>
      </c>
      <c r="Y418" s="88"/>
      <c r="Z418" s="90">
        <f>SUM(Z408:Z417)</f>
        <v>856511.61116630491</v>
      </c>
      <c r="AA418" s="89">
        <f>AC418/AC406</f>
        <v>0.23522911470958005</v>
      </c>
      <c r="AB418" s="88"/>
      <c r="AC418" s="90">
        <f>SUM(AC408:AC417)</f>
        <v>856511.61116630491</v>
      </c>
      <c r="AD418" s="91">
        <f>AF418/AF406</f>
        <v>0.24711790047416282</v>
      </c>
      <c r="AE418" s="88"/>
      <c r="AF418" s="90">
        <f>SUM(AF408:AF417)</f>
        <v>941707.26000000013</v>
      </c>
      <c r="AG418" s="92"/>
      <c r="AH418" s="93">
        <f>AF418-AC418</f>
        <v>85195.648833695217</v>
      </c>
      <c r="AI418" s="89">
        <f>AH418/AC418</f>
        <v>9.9468177340509126E-2</v>
      </c>
      <c r="AJ418" s="91">
        <f>IF($AL$406=0,0,AL418/$AL$406)</f>
        <v>0.27250246798534727</v>
      </c>
      <c r="AK418" s="88"/>
      <c r="AL418" s="90">
        <f>SUM(AL408:AL417)</f>
        <v>885792.86</v>
      </c>
      <c r="AM418" s="94"/>
      <c r="AN418" s="93">
        <f t="shared" si="211"/>
        <v>55914.40000000014</v>
      </c>
      <c r="AO418" s="453">
        <f>IF(AL418=0,0,AN418/AL418)</f>
        <v>6.3123561415927579E-2</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0.530973451327434Salaires propriétaire</v>
      </c>
      <c r="B419" s="165"/>
      <c r="C419" s="23"/>
      <c r="D419" s="23"/>
      <c r="E419" s="23"/>
      <c r="F419" s="23"/>
      <c r="G419" s="23" t="s">
        <v>1252</v>
      </c>
      <c r="H419" s="23"/>
      <c r="I419" s="23"/>
      <c r="J419" s="23"/>
      <c r="K419" s="23"/>
      <c r="L419" s="23" t="s">
        <v>2926</v>
      </c>
      <c r="M419" s="95">
        <f>L261</f>
        <v>6081.7</v>
      </c>
      <c r="N419" s="95"/>
      <c r="O419" s="95">
        <f>N261</f>
        <v>-431.347261441103</v>
      </c>
      <c r="P419" s="1100"/>
      <c r="Q419" s="1103">
        <f>-O419+(S423*U419)</f>
        <v>15.938972040391661</v>
      </c>
      <c r="R419" s="79">
        <v>6532</v>
      </c>
      <c r="S419" s="968">
        <v>0.12</v>
      </c>
      <c r="T419" s="968"/>
      <c r="U419" s="1112">
        <f>S419/S422</f>
        <v>0.53097345132743368</v>
      </c>
      <c r="V419" s="305" t="s">
        <v>213</v>
      </c>
      <c r="W419" s="460" t="s">
        <v>214</v>
      </c>
      <c r="X419" s="455"/>
      <c r="Y419" s="455"/>
      <c r="Z419" s="87">
        <f>+SUMPRODUCT(('Budget original'!$A$8:$A$496=$A419)*('Budget original'!$C$3:$AO$3=Z$2),'Budget original'!$C$8:$AO$496)</f>
        <v>0</v>
      </c>
      <c r="AA419" s="455"/>
      <c r="AB419" s="455"/>
      <c r="AC419" s="87">
        <f>+SUMPRODUCT(('Budget révisé'!$A$8:$A$496=$A419)*('Budget révisé'!$C$3:$AO$3=AC$2),'Budget révisé'!$C$8:$AO$496)</f>
        <v>0</v>
      </c>
      <c r="AD419" s="462"/>
      <c r="AE419" s="461"/>
      <c r="AF419" s="87">
        <f>SUMIFS(BV_Data_An_Cour!$P:$P,BV_Data_An_Cour!$V:$V,$V419)</f>
        <v>18675.43</v>
      </c>
      <c r="AG419" s="456"/>
      <c r="AH419" s="457">
        <f t="shared" ref="AH419:AH430" si="232">AF419-AC419</f>
        <v>18675.43</v>
      </c>
      <c r="AI419" s="458">
        <f>IF(AC419=0,0,AH419/AC419)</f>
        <v>0</v>
      </c>
      <c r="AJ419" s="462"/>
      <c r="AK419" s="455"/>
      <c r="AL419" s="87">
        <f>SUMIFS(BV_Data_An_Prec!$P:$P,BV_Data_An_Prec!$V:$V,$V419)</f>
        <v>63328.66</v>
      </c>
      <c r="AM419" s="459"/>
      <c r="AN419" s="457">
        <f t="shared" si="211"/>
        <v>-44653.23</v>
      </c>
      <c r="AO419" s="214">
        <f t="shared" ref="AO419:AO430" si="233">IF(AL419=0,0,AN419/AL419)</f>
        <v>-0.70510302918141643</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0.380530973451327Salaires cadres</v>
      </c>
      <c r="B420" s="165"/>
      <c r="C420" s="23"/>
      <c r="D420" s="23"/>
      <c r="E420" s="23"/>
      <c r="F420" s="23"/>
      <c r="G420" s="23"/>
      <c r="H420" s="23"/>
      <c r="I420" s="23"/>
      <c r="J420" s="23"/>
      <c r="K420" s="23"/>
      <c r="L420" s="23" t="s">
        <v>2927</v>
      </c>
      <c r="M420" s="95">
        <f>L262</f>
        <v>4358.55</v>
      </c>
      <c r="N420" s="95"/>
      <c r="O420" s="95">
        <f>N262</f>
        <v>-309.13387069945657</v>
      </c>
      <c r="P420" s="1100"/>
      <c r="Q420" s="1103">
        <f>-O420+(S423*U420)</f>
        <v>11.424596628946802</v>
      </c>
      <c r="R420" s="79">
        <v>6539</v>
      </c>
      <c r="S420" s="1101">
        <v>8.5999999999999993E-2</v>
      </c>
      <c r="T420" s="1101"/>
      <c r="U420" s="1112">
        <f>S420/S422</f>
        <v>0.38053097345132741</v>
      </c>
      <c r="V420" s="305" t="s">
        <v>112</v>
      </c>
      <c r="W420" s="460" t="s">
        <v>215</v>
      </c>
      <c r="X420" s="455"/>
      <c r="Y420" s="455"/>
      <c r="Z420" s="87">
        <f t="shared" ref="Z420:Z431" si="234">+SUMIF($C:$C,$V420,F:F)</f>
        <v>371204.13676444325</v>
      </c>
      <c r="AA420" s="455"/>
      <c r="AB420" s="455"/>
      <c r="AC420" s="87">
        <f t="shared" ref="AC420:AC431" si="235">+SUMIF($C:$C,$V420,I:I)</f>
        <v>371204.13676444325</v>
      </c>
      <c r="AD420" s="462"/>
      <c r="AE420" s="461"/>
      <c r="AF420" s="87">
        <f t="shared" ref="AF420:AF431" si="236">+SUMIF($C:$C,$V420,L:L)</f>
        <v>342372.74000000005</v>
      </c>
      <c r="AG420" s="456"/>
      <c r="AH420" s="457">
        <f t="shared" si="232"/>
        <v>-28831.396764443198</v>
      </c>
      <c r="AI420" s="458">
        <f t="shared" ref="AI420:AI430" si="237">IF(AC420=0,0,AH420/AC420)</f>
        <v>-7.766992312033115E-2</v>
      </c>
      <c r="AJ420" s="462"/>
      <c r="AK420" s="455"/>
      <c r="AL420" s="87">
        <f t="shared" ref="AL420:AL431" si="238">+SUMIF($C:$C,$V420,Q:Q)</f>
        <v>373995.4</v>
      </c>
      <c r="AM420" s="459"/>
      <c r="AN420" s="457">
        <f t="shared" si="211"/>
        <v>-31622.659999999974</v>
      </c>
      <c r="AO420" s="214">
        <f t="shared" si="233"/>
        <v>-8.4553606809067636E-2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0.088495575221239Salaires commis</v>
      </c>
      <c r="B421" s="165"/>
      <c r="C421" s="79"/>
      <c r="D421" s="79"/>
      <c r="E421" s="79"/>
      <c r="F421" s="79"/>
      <c r="G421" s="79"/>
      <c r="H421" s="79"/>
      <c r="I421" s="79"/>
      <c r="J421" s="79"/>
      <c r="K421" s="79"/>
      <c r="L421" s="23" t="s">
        <v>1252</v>
      </c>
      <c r="M421" s="95">
        <f>L263</f>
        <v>1013.62</v>
      </c>
      <c r="N421" s="95"/>
      <c r="O421" s="95">
        <f>N263</f>
        <v>-71.887876906850465</v>
      </c>
      <c r="P421" s="1105"/>
      <c r="Q421" s="1103">
        <f>-O421+(S423*U421)</f>
        <v>2.6531620067319039</v>
      </c>
      <c r="R421" s="79">
        <v>6531</v>
      </c>
      <c r="S421" s="1101">
        <v>0.02</v>
      </c>
      <c r="T421" s="1101"/>
      <c r="U421" s="1112">
        <f>S421/S422</f>
        <v>8.8495575221238951E-2</v>
      </c>
      <c r="V421" s="306" t="s">
        <v>113</v>
      </c>
      <c r="W421" s="463" t="s">
        <v>216</v>
      </c>
      <c r="X421" s="445"/>
      <c r="Y421" s="445"/>
      <c r="Z421" s="446">
        <f t="shared" si="234"/>
        <v>181442.29693731802</v>
      </c>
      <c r="AA421" s="445"/>
      <c r="AB421" s="445"/>
      <c r="AC421" s="446">
        <f t="shared" si="235"/>
        <v>181442.29693731802</v>
      </c>
      <c r="AD421" s="465"/>
      <c r="AE421" s="464"/>
      <c r="AF421" s="446">
        <f t="shared" si="236"/>
        <v>165679.01999999999</v>
      </c>
      <c r="AG421" s="447"/>
      <c r="AH421" s="448">
        <f t="shared" si="232"/>
        <v>-15763.276937318034</v>
      </c>
      <c r="AI421" s="466">
        <f t="shared" si="237"/>
        <v>-8.6877631089313734E-2</v>
      </c>
      <c r="AJ421" s="465"/>
      <c r="AK421" s="445"/>
      <c r="AL421" s="446">
        <f t="shared" si="238"/>
        <v>182565.47</v>
      </c>
      <c r="AM421" s="450"/>
      <c r="AN421" s="448">
        <f t="shared" si="211"/>
        <v>-16886.450000000012</v>
      </c>
      <c r="AO421" s="451">
        <f t="shared" si="233"/>
        <v>-9.2495311408011663E-2</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f>SUM(M419:M421)</f>
        <v>11453.87</v>
      </c>
      <c r="N422" s="96"/>
      <c r="O422" s="96">
        <f t="shared" ref="O422" si="239">SUM(O419:O421)</f>
        <v>-812.36900904741003</v>
      </c>
      <c r="P422" s="968"/>
      <c r="Q422" s="1103">
        <f>SUM(Q419:Q421)</f>
        <v>30.016730676070367</v>
      </c>
      <c r="R422" s="79"/>
      <c r="S422" s="1101">
        <f>SUM(S419:S421)</f>
        <v>0.22599999999999998</v>
      </c>
      <c r="T422" s="1101"/>
      <c r="U422" s="23"/>
      <c r="V422" s="280" t="s">
        <v>114</v>
      </c>
      <c r="W422" s="460" t="s">
        <v>217</v>
      </c>
      <c r="X422" s="455"/>
      <c r="Y422" s="455"/>
      <c r="Z422" s="87">
        <f t="shared" si="234"/>
        <v>313981.8013189885</v>
      </c>
      <c r="AA422" s="455"/>
      <c r="AB422" s="455"/>
      <c r="AC422" s="87">
        <f t="shared" si="235"/>
        <v>313981.8013189885</v>
      </c>
      <c r="AD422" s="462"/>
      <c r="AE422" s="461"/>
      <c r="AF422" s="87">
        <f t="shared" si="236"/>
        <v>351817.92000000004</v>
      </c>
      <c r="AG422" s="456"/>
      <c r="AH422" s="457">
        <f t="shared" si="232"/>
        <v>37836.118681011547</v>
      </c>
      <c r="AI422" s="458">
        <f t="shared" si="237"/>
        <v>0.12050417738247224</v>
      </c>
      <c r="AJ422" s="462"/>
      <c r="AK422" s="455"/>
      <c r="AL422" s="87">
        <f t="shared" si="238"/>
        <v>332222.08000000002</v>
      </c>
      <c r="AM422" s="459"/>
      <c r="AN422" s="457">
        <f t="shared" si="211"/>
        <v>19595.840000000026</v>
      </c>
      <c r="AO422" s="214">
        <f t="shared" si="233"/>
        <v>5.8984159030007956E-2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f>SUM(M419:M421)</f>
        <v>11453.87</v>
      </c>
      <c r="N423" s="1104">
        <f>M422/$M$439</f>
        <v>2.3693227840524772E-2</v>
      </c>
      <c r="O423" s="1106">
        <f>K408</f>
        <v>2.3755319800616497E-2</v>
      </c>
      <c r="P423" s="1100">
        <f>O423*$M$439</f>
        <v>11483.886730676071</v>
      </c>
      <c r="Q423" s="1103">
        <f>P423-M422</f>
        <v>30.016730676070438</v>
      </c>
      <c r="R423" s="79"/>
      <c r="S423" s="1101">
        <f>O422+Q423</f>
        <v>-782.35227837133959</v>
      </c>
      <c r="T423" s="1101"/>
      <c r="U423" s="79"/>
      <c r="V423" s="280" t="s">
        <v>115</v>
      </c>
      <c r="W423" s="460" t="s">
        <v>218</v>
      </c>
      <c r="X423" s="455"/>
      <c r="Y423" s="455"/>
      <c r="Z423" s="87">
        <f t="shared" si="234"/>
        <v>240758.30028045981</v>
      </c>
      <c r="AA423" s="455"/>
      <c r="AB423" s="455"/>
      <c r="AC423" s="87">
        <f t="shared" si="235"/>
        <v>240758.30028045981</v>
      </c>
      <c r="AD423" s="462"/>
      <c r="AE423" s="461"/>
      <c r="AF423" s="87">
        <f t="shared" si="236"/>
        <v>176858.38</v>
      </c>
      <c r="AG423" s="456"/>
      <c r="AH423" s="457">
        <f t="shared" si="232"/>
        <v>-63899.920280459803</v>
      </c>
      <c r="AI423" s="458">
        <f t="shared" si="237"/>
        <v>-0.26541107910307832</v>
      </c>
      <c r="AJ423" s="462"/>
      <c r="AK423" s="455"/>
      <c r="AL423" s="87">
        <f t="shared" si="238"/>
        <v>188449.16999999998</v>
      </c>
      <c r="AM423" s="459"/>
      <c r="AN423" s="457">
        <f t="shared" si="211"/>
        <v>-11590.789999999979</v>
      </c>
      <c r="AO423" s="214">
        <f t="shared" si="233"/>
        <v>-6.1506187583633187E-2</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106"/>
      <c r="P424" s="1105"/>
      <c r="Q424" s="1110"/>
      <c r="R424" s="79"/>
      <c r="S424" s="1101"/>
      <c r="T424" s="1101"/>
      <c r="U424" s="79"/>
      <c r="V424" s="280" t="s">
        <v>42</v>
      </c>
      <c r="W424" s="460"/>
      <c r="X424" s="455"/>
      <c r="Y424" s="455"/>
      <c r="Z424" s="87">
        <f t="shared" si="234"/>
        <v>0</v>
      </c>
      <c r="AA424" s="455"/>
      <c r="AB424" s="455"/>
      <c r="AC424" s="87">
        <f t="shared" si="235"/>
        <v>0</v>
      </c>
      <c r="AD424" s="462"/>
      <c r="AE424" s="461"/>
      <c r="AF424" s="87">
        <f t="shared" si="236"/>
        <v>0</v>
      </c>
      <c r="AG424" s="456"/>
      <c r="AH424" s="457">
        <f t="shared" ref="AH424:AH426" si="240">AF424-AC424</f>
        <v>0</v>
      </c>
      <c r="AI424" s="458">
        <f t="shared" ref="AI424:AI426" si="241">IF(AC424=0,0,AH424/AC424)</f>
        <v>0</v>
      </c>
      <c r="AJ424" s="462"/>
      <c r="AK424" s="455"/>
      <c r="AL424" s="87">
        <f t="shared" si="238"/>
        <v>0</v>
      </c>
      <c r="AM424" s="459"/>
      <c r="AN424" s="457">
        <f t="shared" ref="AN424:AN426" si="242">AF424-AL424</f>
        <v>0</v>
      </c>
      <c r="AO424" s="214">
        <f t="shared" ref="AO424:AO426" si="243">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106"/>
      <c r="P425" s="1105"/>
      <c r="Q425" s="1110"/>
      <c r="R425" s="79"/>
      <c r="S425" s="1101"/>
      <c r="T425" s="1101"/>
      <c r="U425" s="79"/>
      <c r="V425" s="280" t="s">
        <v>42</v>
      </c>
      <c r="W425" s="460"/>
      <c r="X425" s="455"/>
      <c r="Y425" s="455"/>
      <c r="Z425" s="87">
        <f t="shared" si="234"/>
        <v>0</v>
      </c>
      <c r="AA425" s="455"/>
      <c r="AB425" s="455"/>
      <c r="AC425" s="87">
        <f t="shared" si="235"/>
        <v>0</v>
      </c>
      <c r="AD425" s="462"/>
      <c r="AE425" s="461"/>
      <c r="AF425" s="87">
        <f t="shared" si="236"/>
        <v>0</v>
      </c>
      <c r="AG425" s="456"/>
      <c r="AH425" s="457">
        <f t="shared" si="240"/>
        <v>0</v>
      </c>
      <c r="AI425" s="458">
        <f t="shared" si="241"/>
        <v>0</v>
      </c>
      <c r="AJ425" s="462"/>
      <c r="AK425" s="455"/>
      <c r="AL425" s="87">
        <f t="shared" si="238"/>
        <v>0</v>
      </c>
      <c r="AM425" s="459"/>
      <c r="AN425" s="457">
        <f t="shared" si="242"/>
        <v>0</v>
      </c>
      <c r="AO425" s="214">
        <f t="shared" si="243"/>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106"/>
      <c r="P426" s="1105"/>
      <c r="Q426" s="1110"/>
      <c r="R426" s="79"/>
      <c r="S426" s="1101"/>
      <c r="T426" s="1101"/>
      <c r="U426" s="79"/>
      <c r="V426" s="280" t="s">
        <v>42</v>
      </c>
      <c r="W426" s="460"/>
      <c r="X426" s="455"/>
      <c r="Y426" s="455"/>
      <c r="Z426" s="87">
        <f t="shared" si="234"/>
        <v>0</v>
      </c>
      <c r="AA426" s="455"/>
      <c r="AB426" s="455"/>
      <c r="AC426" s="87">
        <f t="shared" si="235"/>
        <v>0</v>
      </c>
      <c r="AD426" s="462"/>
      <c r="AE426" s="461"/>
      <c r="AF426" s="87">
        <f t="shared" si="236"/>
        <v>0</v>
      </c>
      <c r="AG426" s="456"/>
      <c r="AH426" s="457">
        <f t="shared" si="240"/>
        <v>0</v>
      </c>
      <c r="AI426" s="458">
        <f t="shared" si="241"/>
        <v>0</v>
      </c>
      <c r="AJ426" s="462"/>
      <c r="AK426" s="455"/>
      <c r="AL426" s="87">
        <f t="shared" si="238"/>
        <v>0</v>
      </c>
      <c r="AM426" s="459"/>
      <c r="AN426" s="457">
        <f t="shared" si="242"/>
        <v>0</v>
      </c>
      <c r="AO426" s="214">
        <f t="shared" si="243"/>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t="s">
        <v>2930</v>
      </c>
      <c r="M427" s="96"/>
      <c r="N427" s="57"/>
      <c r="O427" s="1106"/>
      <c r="P427" s="1105"/>
      <c r="Q427" s="1110"/>
      <c r="R427" s="79"/>
      <c r="S427" s="1101"/>
      <c r="T427" s="1101"/>
      <c r="U427" s="79"/>
      <c r="V427" s="282" t="s">
        <v>116</v>
      </c>
      <c r="W427" s="463" t="s">
        <v>219</v>
      </c>
      <c r="X427" s="445"/>
      <c r="Y427" s="445"/>
      <c r="Z427" s="446">
        <f t="shared" si="234"/>
        <v>256534.99637122147</v>
      </c>
      <c r="AA427" s="445"/>
      <c r="AB427" s="445"/>
      <c r="AC427" s="446">
        <f t="shared" si="235"/>
        <v>256534.99637122147</v>
      </c>
      <c r="AD427" s="465"/>
      <c r="AE427" s="464"/>
      <c r="AF427" s="446">
        <f t="shared" si="236"/>
        <v>238024.74</v>
      </c>
      <c r="AG427" s="447"/>
      <c r="AH427" s="448">
        <f t="shared" si="232"/>
        <v>-18510.256371221476</v>
      </c>
      <c r="AI427" s="466">
        <f t="shared" si="237"/>
        <v>-7.2154897511277682E-2</v>
      </c>
      <c r="AJ427" s="465"/>
      <c r="AK427" s="445"/>
      <c r="AL427" s="446">
        <f t="shared" si="238"/>
        <v>275650.73</v>
      </c>
      <c r="AM427" s="450"/>
      <c r="AN427" s="448">
        <f t="shared" si="211"/>
        <v>-37625.989999999991</v>
      </c>
      <c r="AO427" s="215">
        <f t="shared" si="233"/>
        <v>-0.13649878598181109</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199"/>
        <v>0.530973451327434Déduction à la source</v>
      </c>
      <c r="B428" s="165"/>
      <c r="C428" s="79"/>
      <c r="D428" s="79"/>
      <c r="E428" s="79"/>
      <c r="F428" s="79"/>
      <c r="G428" s="79"/>
      <c r="H428" s="79"/>
      <c r="I428" s="79"/>
      <c r="J428" s="79"/>
      <c r="K428" s="79"/>
      <c r="L428" s="23" t="s">
        <v>2926</v>
      </c>
      <c r="M428" s="96">
        <f>L325</f>
        <v>309.12</v>
      </c>
      <c r="N428" s="96"/>
      <c r="O428" s="96">
        <f>N325</f>
        <v>-24690.084760681788</v>
      </c>
      <c r="P428" s="1105"/>
      <c r="Q428" s="1103">
        <f>-O428+(S432*U428)</f>
        <v>24567.517552209738</v>
      </c>
      <c r="R428" s="79">
        <v>6732</v>
      </c>
      <c r="S428" s="968">
        <v>0.12</v>
      </c>
      <c r="T428" s="968"/>
      <c r="U428" s="1112">
        <f>S428/S431</f>
        <v>0.53097345132743368</v>
      </c>
      <c r="V428" s="280" t="s">
        <v>117</v>
      </c>
      <c r="W428" s="460" t="s">
        <v>220</v>
      </c>
      <c r="X428" s="455"/>
      <c r="Y428" s="455"/>
      <c r="Z428" s="87">
        <f t="shared" si="234"/>
        <v>256534.99637122147</v>
      </c>
      <c r="AA428" s="455"/>
      <c r="AB428" s="455"/>
      <c r="AC428" s="87">
        <f t="shared" si="235"/>
        <v>256534.99637122147</v>
      </c>
      <c r="AD428" s="462"/>
      <c r="AE428" s="461"/>
      <c r="AF428" s="87">
        <f t="shared" si="236"/>
        <v>226499.14</v>
      </c>
      <c r="AG428" s="456"/>
      <c r="AH428" s="457">
        <f t="shared" si="232"/>
        <v>-30035.856371221453</v>
      </c>
      <c r="AI428" s="458">
        <f t="shared" si="237"/>
        <v>-0.11708288068329584</v>
      </c>
      <c r="AJ428" s="462"/>
      <c r="AK428" s="455"/>
      <c r="AL428" s="87">
        <f t="shared" si="238"/>
        <v>219458.59999999998</v>
      </c>
      <c r="AM428" s="459"/>
      <c r="AN428" s="457">
        <f t="shared" si="211"/>
        <v>7040.5400000000373</v>
      </c>
      <c r="AO428" s="214">
        <f t="shared" si="233"/>
        <v>3.2081403964119147E-2</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0.380530973451327Bénéfices marginaux</v>
      </c>
      <c r="B429" s="165"/>
      <c r="C429" s="79"/>
      <c r="D429" s="79"/>
      <c r="E429" s="79"/>
      <c r="F429" s="79"/>
      <c r="G429" s="79"/>
      <c r="H429" s="79"/>
      <c r="I429" s="79"/>
      <c r="J429" s="79"/>
      <c r="K429" s="79"/>
      <c r="L429" s="23" t="s">
        <v>2927</v>
      </c>
      <c r="M429" s="96">
        <f>L326</f>
        <v>17830.16</v>
      </c>
      <c r="N429" s="96"/>
      <c r="O429" s="96">
        <f>N326</f>
        <v>-85.936745155282551</v>
      </c>
      <c r="P429" s="1105"/>
      <c r="Q429" s="1103">
        <f>-O429+(S432*U429)</f>
        <v>-1.9030875830199676</v>
      </c>
      <c r="R429" s="79">
        <v>6739</v>
      </c>
      <c r="S429" s="1101">
        <v>8.5999999999999993E-2</v>
      </c>
      <c r="T429" s="1101"/>
      <c r="U429" s="1112">
        <f>S429/S431</f>
        <v>0.38053097345132741</v>
      </c>
      <c r="V429" s="280" t="s">
        <v>118</v>
      </c>
      <c r="W429" s="460" t="s">
        <v>221</v>
      </c>
      <c r="X429" s="455"/>
      <c r="Y429" s="455"/>
      <c r="Z429" s="87">
        <f t="shared" si="234"/>
        <v>183850.08073270877</v>
      </c>
      <c r="AA429" s="455"/>
      <c r="AB429" s="455"/>
      <c r="AC429" s="87">
        <f t="shared" si="235"/>
        <v>183850.08073270877</v>
      </c>
      <c r="AD429" s="462"/>
      <c r="AE429" s="461"/>
      <c r="AF429" s="87">
        <f t="shared" si="236"/>
        <v>179932.97999999998</v>
      </c>
      <c r="AG429" s="456"/>
      <c r="AH429" s="457">
        <f t="shared" si="232"/>
        <v>-3917.1007327087864</v>
      </c>
      <c r="AI429" s="458">
        <f t="shared" si="237"/>
        <v>-2.1305950571779624E-2</v>
      </c>
      <c r="AJ429" s="462"/>
      <c r="AK429" s="455"/>
      <c r="AL429" s="87">
        <f t="shared" si="238"/>
        <v>175404.22</v>
      </c>
      <c r="AM429" s="459"/>
      <c r="AN429" s="457">
        <f t="shared" si="211"/>
        <v>4528.7599999999802</v>
      </c>
      <c r="AO429" s="214">
        <f t="shared" si="233"/>
        <v>2.581899112803546E-2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0.088495575221239Csst</v>
      </c>
      <c r="B430" s="165"/>
      <c r="C430" s="79"/>
      <c r="D430" s="79"/>
      <c r="E430" s="79"/>
      <c r="F430" s="79"/>
      <c r="G430" s="79"/>
      <c r="H430" s="79"/>
      <c r="I430" s="79"/>
      <c r="J430" s="79"/>
      <c r="K430" s="79"/>
      <c r="L430" s="23" t="s">
        <v>1252</v>
      </c>
      <c r="M430" s="96">
        <f>L327</f>
        <v>30293.32</v>
      </c>
      <c r="N430" s="96"/>
      <c r="O430" s="96">
        <f>N327</f>
        <v>26126.785873219702</v>
      </c>
      <c r="P430" s="1105"/>
      <c r="Q430" s="1103">
        <f>-O430+(S432*U430)</f>
        <v>-26147.213741298376</v>
      </c>
      <c r="R430" s="79">
        <v>6731</v>
      </c>
      <c r="S430" s="1101">
        <v>0.02</v>
      </c>
      <c r="T430" s="1101"/>
      <c r="U430" s="1112">
        <f>S430/S431</f>
        <v>8.8495575221238951E-2</v>
      </c>
      <c r="V430" s="280" t="s">
        <v>119</v>
      </c>
      <c r="W430" s="460"/>
      <c r="X430" s="455"/>
      <c r="Y430" s="455"/>
      <c r="Z430" s="87">
        <f t="shared" si="234"/>
        <v>42755.832728536923</v>
      </c>
      <c r="AA430" s="455"/>
      <c r="AB430" s="455"/>
      <c r="AC430" s="87">
        <f t="shared" si="235"/>
        <v>42755.832728536923</v>
      </c>
      <c r="AD430" s="462"/>
      <c r="AE430" s="461"/>
      <c r="AF430" s="87">
        <f t="shared" si="236"/>
        <v>76991.67</v>
      </c>
      <c r="AG430" s="456"/>
      <c r="AH430" s="457">
        <f t="shared" si="232"/>
        <v>34235.837271463075</v>
      </c>
      <c r="AI430" s="97">
        <f t="shared" si="237"/>
        <v>0.80072904880210016</v>
      </c>
      <c r="AJ430" s="462"/>
      <c r="AK430" s="455"/>
      <c r="AL430" s="87">
        <f t="shared" si="238"/>
        <v>86822.75</v>
      </c>
      <c r="AM430" s="459"/>
      <c r="AN430" s="457">
        <f t="shared" si="211"/>
        <v>-9831.0800000000017</v>
      </c>
      <c r="AO430" s="214">
        <f t="shared" si="233"/>
        <v>-0.11323161268215994</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100"/>
      <c r="Q431" s="1103">
        <f>SUM(Q428:Q430)</f>
        <v>-1581.599276671659</v>
      </c>
      <c r="R431" s="79"/>
      <c r="S431" s="1101">
        <f>SUM(S428:S430)</f>
        <v>0.22599999999999998</v>
      </c>
      <c r="T431" s="1101"/>
      <c r="U431" s="23"/>
      <c r="V431" s="291" t="s">
        <v>42</v>
      </c>
      <c r="W431" s="460"/>
      <c r="X431" s="455"/>
      <c r="Y431" s="461"/>
      <c r="Z431" s="87">
        <f t="shared" si="234"/>
        <v>0</v>
      </c>
      <c r="AA431" s="455"/>
      <c r="AB431" s="461"/>
      <c r="AC431" s="87">
        <f t="shared" si="235"/>
        <v>0</v>
      </c>
      <c r="AD431" s="462"/>
      <c r="AE431" s="461"/>
      <c r="AF431" s="87">
        <f t="shared" si="236"/>
        <v>0</v>
      </c>
      <c r="AG431" s="456"/>
      <c r="AH431" s="457"/>
      <c r="AI431" s="458"/>
      <c r="AJ431" s="462"/>
      <c r="AK431" s="457"/>
      <c r="AL431" s="87">
        <f t="shared" si="238"/>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68"/>
      <c r="M432" s="968"/>
      <c r="N432" s="968"/>
      <c r="O432" s="1107">
        <f>SUM(O428:O431)</f>
        <v>1350.7643673826315</v>
      </c>
      <c r="P432" s="968"/>
      <c r="Q432" s="1111">
        <f>SUM(Q428:Q430)</f>
        <v>-1581.599276671659</v>
      </c>
      <c r="R432" s="79"/>
      <c r="S432" s="1101">
        <f>Q433+O432</f>
        <v>-230.83490928902756</v>
      </c>
      <c r="T432" s="1101"/>
      <c r="U432" s="79"/>
      <c r="V432" s="467" t="s">
        <v>120</v>
      </c>
      <c r="W432" s="88"/>
      <c r="X432" s="89">
        <f>Z432/Z406</f>
        <v>0.5072702544415959</v>
      </c>
      <c r="Y432" s="88"/>
      <c r="Z432" s="90">
        <f>SUM(Z419:Z431)</f>
        <v>1847062.4415048982</v>
      </c>
      <c r="AA432" s="89">
        <f>AC432/AC406</f>
        <v>0.5072702544415959</v>
      </c>
      <c r="AB432" s="88"/>
      <c r="AC432" s="90">
        <f>SUM(AC419:AC431)</f>
        <v>1847062.4415048982</v>
      </c>
      <c r="AD432" s="91">
        <f>AF432/AF406</f>
        <v>0.46627222629214421</v>
      </c>
      <c r="AE432" s="98"/>
      <c r="AF432" s="90">
        <f>SUM(AF419:AF431)</f>
        <v>1776852.02</v>
      </c>
      <c r="AG432" s="99"/>
      <c r="AH432" s="93">
        <f t="shared" ref="AH432:AH446" si="244">AF432-AC432</f>
        <v>-70210.42150489823</v>
      </c>
      <c r="AI432" s="89">
        <f>AH432/AC432</f>
        <v>-3.8011937185888599E-2</v>
      </c>
      <c r="AJ432" s="91">
        <f>IF($AL$406=0,0,AL432/$AL$406)</f>
        <v>0.58386295672126332</v>
      </c>
      <c r="AK432" s="88"/>
      <c r="AL432" s="90">
        <f>SUM(AL419:AL431)</f>
        <v>1897897.0799999998</v>
      </c>
      <c r="AM432" s="100"/>
      <c r="AN432" s="93">
        <f t="shared" ref="AN432:AN446" si="245">AF432-AL432</f>
        <v>-121045.05999999982</v>
      </c>
      <c r="AO432" s="453">
        <f>IF(AL432=0,0,AN432/AL432)</f>
        <v>-6.3778516377716241E-2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107">
        <f>SUM(M428:M431)</f>
        <v>48432.6</v>
      </c>
      <c r="N433" s="1104">
        <f>M433/$M$439</f>
        <v>0.10018662920995262</v>
      </c>
      <c r="O433" s="1108">
        <f>K409</f>
        <v>9.6914967141621927E-2</v>
      </c>
      <c r="P433" s="1100">
        <f>O433*$M$439</f>
        <v>46851.00072332834</v>
      </c>
      <c r="Q433" s="1103">
        <f>P433-M433</f>
        <v>-1581.599276671659</v>
      </c>
      <c r="R433" s="79"/>
      <c r="S433" s="968"/>
      <c r="T433" s="968"/>
      <c r="U433" s="79"/>
      <c r="V433" s="300" t="s">
        <v>121</v>
      </c>
      <c r="W433" s="468" t="s">
        <v>211</v>
      </c>
      <c r="X433" s="469"/>
      <c r="Y433" s="469"/>
      <c r="Z433" s="470">
        <f t="shared" ref="Z433:Z450" si="246">+SUMIF($C:$C,$V433,F:F)</f>
        <v>76172.833333333328</v>
      </c>
      <c r="AA433" s="469"/>
      <c r="AB433" s="469"/>
      <c r="AC433" s="470">
        <f t="shared" ref="AC433:AC450" si="247">+SUMIF($C:$C,$V433,I:I)</f>
        <v>76172.833333333328</v>
      </c>
      <c r="AD433" s="471"/>
      <c r="AE433" s="472"/>
      <c r="AF433" s="470">
        <f t="shared" ref="AF433:AF446" si="248">+SUMIF($C:$C,$V433,L:L)</f>
        <v>68128.48000000001</v>
      </c>
      <c r="AG433" s="471"/>
      <c r="AH433" s="473">
        <f t="shared" si="244"/>
        <v>-8044.353333333318</v>
      </c>
      <c r="AI433" s="474">
        <f>IF(AC433=0,0,AH433/AC433)</f>
        <v>-0.10560659202646594</v>
      </c>
      <c r="AJ433" s="471"/>
      <c r="AK433" s="469"/>
      <c r="AL433" s="470">
        <f t="shared" ref="AL433:AL450" si="249">+SUMIF($C:$C,$V433,Q:Q)</f>
        <v>135742.48000000001</v>
      </c>
      <c r="AM433" s="475"/>
      <c r="AN433" s="473">
        <f t="shared" si="245"/>
        <v>-67614</v>
      </c>
      <c r="AO433" s="213">
        <f t="shared" ref="AO433:AO446" si="250">IF(AL433=0,0,AN433/AL433)</f>
        <v>-0.49810494106192837</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t="s">
        <v>1639</v>
      </c>
      <c r="M434" s="79"/>
      <c r="N434" s="968"/>
      <c r="O434" s="1106"/>
      <c r="P434" s="1109"/>
      <c r="Q434" s="1110"/>
      <c r="R434" s="79"/>
      <c r="S434" s="968"/>
      <c r="T434" s="968"/>
      <c r="U434" s="79"/>
      <c r="V434" s="305" t="s">
        <v>122</v>
      </c>
      <c r="W434" s="460" t="s">
        <v>222</v>
      </c>
      <c r="X434" s="455"/>
      <c r="Y434" s="455"/>
      <c r="Z434" s="87">
        <f t="shared" si="246"/>
        <v>39322.737005367089</v>
      </c>
      <c r="AA434" s="455"/>
      <c r="AB434" s="455"/>
      <c r="AC434" s="87">
        <f t="shared" si="247"/>
        <v>39322.737005367089</v>
      </c>
      <c r="AD434" s="462"/>
      <c r="AE434" s="461"/>
      <c r="AF434" s="87">
        <f t="shared" si="248"/>
        <v>23525.410000000003</v>
      </c>
      <c r="AG434" s="456"/>
      <c r="AH434" s="457">
        <f t="shared" si="244"/>
        <v>-15797.327005367086</v>
      </c>
      <c r="AI434" s="458">
        <f t="shared" ref="AI434:AI446" si="251">IF(AC434=0,0,AH434/AC434)</f>
        <v>-0.40173518448654622</v>
      </c>
      <c r="AJ434" s="462"/>
      <c r="AK434" s="455"/>
      <c r="AL434" s="87">
        <f t="shared" si="249"/>
        <v>32994.78</v>
      </c>
      <c r="AM434" s="459"/>
      <c r="AN434" s="457">
        <f t="shared" si="245"/>
        <v>-9469.3699999999953</v>
      </c>
      <c r="AO434" s="214">
        <f t="shared" si="250"/>
        <v>-0.28699600361026789</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t="s">
        <v>2926</v>
      </c>
      <c r="M435" s="96">
        <f>M401+M406+M411+M419+M428</f>
        <v>226499.14</v>
      </c>
      <c r="N435" s="96"/>
      <c r="O435" s="96">
        <f t="shared" ref="O435:O437" si="252">O401+O406+O411+O419+O428</f>
        <v>-30035.856371221482</v>
      </c>
      <c r="P435" s="1109"/>
      <c r="Q435" s="1110">
        <f>Q401+Q406+Q411+Q419+Q428</f>
        <v>30186.058230088478</v>
      </c>
      <c r="R435" s="79"/>
      <c r="S435" s="968"/>
      <c r="T435" s="968"/>
      <c r="U435" s="79"/>
      <c r="V435" s="306" t="s">
        <v>123</v>
      </c>
      <c r="W435" s="463" t="s">
        <v>223</v>
      </c>
      <c r="X435" s="445"/>
      <c r="Y435" s="445"/>
      <c r="Z435" s="446">
        <f t="shared" si="246"/>
        <v>195167.0625</v>
      </c>
      <c r="AA435" s="445"/>
      <c r="AB435" s="445"/>
      <c r="AC435" s="446">
        <f t="shared" si="247"/>
        <v>195167.0625</v>
      </c>
      <c r="AD435" s="465"/>
      <c r="AE435" s="464"/>
      <c r="AF435" s="446">
        <f t="shared" si="248"/>
        <v>149955.75</v>
      </c>
      <c r="AG435" s="447"/>
      <c r="AH435" s="448">
        <f t="shared" si="244"/>
        <v>-45211.3125</v>
      </c>
      <c r="AI435" s="466">
        <f t="shared" si="251"/>
        <v>-0.23165441914667337</v>
      </c>
      <c r="AJ435" s="465"/>
      <c r="AK435" s="445"/>
      <c r="AL435" s="446">
        <f t="shared" si="249"/>
        <v>220387.45</v>
      </c>
      <c r="AM435" s="450"/>
      <c r="AN435" s="448">
        <f t="shared" si="245"/>
        <v>-70431.700000000012</v>
      </c>
      <c r="AO435" s="451">
        <f t="shared" si="250"/>
        <v>-0.31958126472265097</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t="s">
        <v>2927</v>
      </c>
      <c r="M436" s="96">
        <f>M402+M407+M412+M420+M429</f>
        <v>179932.97999999998</v>
      </c>
      <c r="N436" s="96"/>
      <c r="O436" s="96">
        <f t="shared" si="252"/>
        <v>-3917.10073270876</v>
      </c>
      <c r="P436" s="1109"/>
      <c r="Q436" s="1110">
        <f>Q402+Q407+Q412+Q420+Q429</f>
        <v>4024.7453982301095</v>
      </c>
      <c r="R436" s="79"/>
      <c r="S436" s="968"/>
      <c r="T436" s="968"/>
      <c r="U436" s="79"/>
      <c r="V436" s="305" t="s">
        <v>124</v>
      </c>
      <c r="W436" s="460" t="s">
        <v>224</v>
      </c>
      <c r="X436" s="455"/>
      <c r="Y436" s="455"/>
      <c r="Z436" s="87">
        <f t="shared" si="246"/>
        <v>136381.79333333336</v>
      </c>
      <c r="AA436" s="455"/>
      <c r="AB436" s="455"/>
      <c r="AC436" s="87">
        <f t="shared" si="247"/>
        <v>136381.79333333336</v>
      </c>
      <c r="AD436" s="462"/>
      <c r="AE436" s="461"/>
      <c r="AF436" s="87">
        <f t="shared" si="248"/>
        <v>115119.82</v>
      </c>
      <c r="AG436" s="456"/>
      <c r="AH436" s="457">
        <f t="shared" si="244"/>
        <v>-21261.973333333357</v>
      </c>
      <c r="AI436" s="458">
        <f t="shared" si="251"/>
        <v>-0.15590037946902896</v>
      </c>
      <c r="AJ436" s="462"/>
      <c r="AK436" s="455"/>
      <c r="AL436" s="87">
        <f t="shared" si="249"/>
        <v>128893.43</v>
      </c>
      <c r="AM436" s="459"/>
      <c r="AN436" s="457">
        <f t="shared" si="245"/>
        <v>-13773.609999999986</v>
      </c>
      <c r="AO436" s="214">
        <f t="shared" si="250"/>
        <v>-0.10686045052878169</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t="s">
        <v>1252</v>
      </c>
      <c r="M437" s="96">
        <f>M403+M408+M413+M421+M430</f>
        <v>76991.67</v>
      </c>
      <c r="N437" s="96"/>
      <c r="O437" s="96">
        <f t="shared" si="252"/>
        <v>34235.837271463082</v>
      </c>
      <c r="P437" s="1109"/>
      <c r="Q437" s="1110">
        <f t="shared" ref="Q437" si="253">Q403+Q408+Q413+Q421+Q430</f>
        <v>-34210.803628318579</v>
      </c>
      <c r="R437" s="79"/>
      <c r="S437" s="968"/>
      <c r="T437" s="968"/>
      <c r="U437" s="79"/>
      <c r="V437" s="305" t="s">
        <v>125</v>
      </c>
      <c r="W437" s="460" t="s">
        <v>225</v>
      </c>
      <c r="X437" s="455"/>
      <c r="Y437" s="455"/>
      <c r="Z437" s="87">
        <f t="shared" si="246"/>
        <v>34923.367499999993</v>
      </c>
      <c r="AA437" s="455"/>
      <c r="AB437" s="455"/>
      <c r="AC437" s="87">
        <f t="shared" si="247"/>
        <v>34923.367499999993</v>
      </c>
      <c r="AD437" s="462"/>
      <c r="AE437" s="461"/>
      <c r="AF437" s="87">
        <f t="shared" si="248"/>
        <v>12070.13</v>
      </c>
      <c r="AG437" s="456"/>
      <c r="AH437" s="457">
        <f t="shared" si="244"/>
        <v>-22853.237499999996</v>
      </c>
      <c r="AI437" s="458">
        <f t="shared" si="251"/>
        <v>-0.65438241315073642</v>
      </c>
      <c r="AJ437" s="462"/>
      <c r="AK437" s="455"/>
      <c r="AL437" s="87">
        <f t="shared" si="249"/>
        <v>42539</v>
      </c>
      <c r="AM437" s="459"/>
      <c r="AN437" s="457">
        <f t="shared" si="245"/>
        <v>-30468.870000000003</v>
      </c>
      <c r="AO437" s="214">
        <f t="shared" si="250"/>
        <v>-0.71625731681515792</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f>SUM(O435:O437)</f>
        <v>282.88016753284319</v>
      </c>
      <c r="P438" s="1109"/>
      <c r="Q438" s="1103">
        <f>SUM(Q435:Q437)</f>
        <v>0</v>
      </c>
      <c r="R438" s="79"/>
      <c r="S438" s="968"/>
      <c r="T438" s="968"/>
      <c r="U438" s="79"/>
      <c r="V438" s="305" t="s">
        <v>126</v>
      </c>
      <c r="W438" s="460" t="s">
        <v>226</v>
      </c>
      <c r="X438" s="455"/>
      <c r="Y438" s="455"/>
      <c r="Z438" s="87">
        <f t="shared" si="246"/>
        <v>172897.38043333334</v>
      </c>
      <c r="AA438" s="455"/>
      <c r="AB438" s="455"/>
      <c r="AC438" s="87">
        <f t="shared" si="247"/>
        <v>172897.38043333334</v>
      </c>
      <c r="AD438" s="462"/>
      <c r="AE438" s="461"/>
      <c r="AF438" s="87">
        <f t="shared" si="248"/>
        <v>118846.80000000002</v>
      </c>
      <c r="AG438" s="456"/>
      <c r="AH438" s="457">
        <f t="shared" si="244"/>
        <v>-54050.580433333322</v>
      </c>
      <c r="AI438" s="458">
        <f t="shared" si="251"/>
        <v>-0.31261653761246211</v>
      </c>
      <c r="AJ438" s="462"/>
      <c r="AK438" s="455"/>
      <c r="AL438" s="87">
        <f t="shared" si="249"/>
        <v>219174.25</v>
      </c>
      <c r="AM438" s="459"/>
      <c r="AN438" s="457">
        <f t="shared" si="245"/>
        <v>-100327.44999999998</v>
      </c>
      <c r="AO438" s="214">
        <f t="shared" si="250"/>
        <v>-0.45775199413252232</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68"/>
      <c r="M439" s="1107">
        <f>SUM(M435:M438)</f>
        <v>483423.79</v>
      </c>
      <c r="N439" s="1104">
        <f>M439/$M$439</f>
        <v>1</v>
      </c>
      <c r="O439" s="1106"/>
      <c r="P439" s="1109"/>
      <c r="Q439" s="79"/>
      <c r="R439" s="79"/>
      <c r="S439" s="968"/>
      <c r="T439" s="968"/>
      <c r="U439" s="79"/>
      <c r="V439" s="688" t="s">
        <v>1996</v>
      </c>
      <c r="W439" s="689"/>
      <c r="X439" s="690"/>
      <c r="Y439" s="690"/>
      <c r="Z439" s="691">
        <f t="shared" si="246"/>
        <v>0</v>
      </c>
      <c r="AA439" s="690"/>
      <c r="AB439" s="690"/>
      <c r="AC439" s="691">
        <f t="shared" si="247"/>
        <v>0</v>
      </c>
      <c r="AD439" s="692"/>
      <c r="AE439" s="693"/>
      <c r="AF439" s="691">
        <f t="shared" si="248"/>
        <v>0</v>
      </c>
      <c r="AG439" s="694"/>
      <c r="AH439" s="695">
        <f t="shared" ref="AH439" si="254">AF439-AC439</f>
        <v>0</v>
      </c>
      <c r="AI439" s="696">
        <f t="shared" ref="AI439" si="255">IF(AC439=0,0,AH439/AC439)</f>
        <v>0</v>
      </c>
      <c r="AJ439" s="692"/>
      <c r="AK439" s="690"/>
      <c r="AL439" s="691">
        <f t="shared" si="249"/>
        <v>0</v>
      </c>
      <c r="AM439" s="697"/>
      <c r="AN439" s="695">
        <f t="shared" ref="AN439" si="256">AF439-AL439</f>
        <v>0</v>
      </c>
      <c r="AO439" s="698">
        <f t="shared" ref="AO439" si="25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199"/>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6"/>
        <v>7398.743258568551</v>
      </c>
      <c r="AA440" s="455"/>
      <c r="AB440" s="461"/>
      <c r="AC440" s="87">
        <f t="shared" si="247"/>
        <v>7398.743258568551</v>
      </c>
      <c r="AD440" s="462"/>
      <c r="AE440" s="461"/>
      <c r="AF440" s="87">
        <f t="shared" si="248"/>
        <v>7944.68</v>
      </c>
      <c r="AG440" s="456"/>
      <c r="AH440" s="457">
        <f t="shared" si="244"/>
        <v>545.93674143144926</v>
      </c>
      <c r="AI440" s="458">
        <f t="shared" si="251"/>
        <v>7.3787766699323562E-2</v>
      </c>
      <c r="AJ440" s="462"/>
      <c r="AK440" s="455"/>
      <c r="AL440" s="87">
        <f t="shared" si="249"/>
        <v>7592.59</v>
      </c>
      <c r="AM440" s="459"/>
      <c r="AN440" s="457">
        <f t="shared" si="245"/>
        <v>352.09000000000015</v>
      </c>
      <c r="AO440" s="214">
        <f t="shared" si="250"/>
        <v>4.6372845102922736E-2</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199"/>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6"/>
        <v>10605</v>
      </c>
      <c r="AA441" s="455"/>
      <c r="AB441" s="455"/>
      <c r="AC441" s="87">
        <f t="shared" si="247"/>
        <v>10605</v>
      </c>
      <c r="AD441" s="462"/>
      <c r="AE441" s="461"/>
      <c r="AF441" s="87">
        <f t="shared" si="248"/>
        <v>4233.59</v>
      </c>
      <c r="AG441" s="456"/>
      <c r="AH441" s="457">
        <f t="shared" si="244"/>
        <v>-6371.41</v>
      </c>
      <c r="AI441" s="97">
        <f t="shared" si="251"/>
        <v>-0.60079302215935881</v>
      </c>
      <c r="AJ441" s="462"/>
      <c r="AK441" s="455"/>
      <c r="AL441" s="87">
        <f t="shared" si="249"/>
        <v>10605</v>
      </c>
      <c r="AM441" s="459"/>
      <c r="AN441" s="457">
        <f t="shared" si="245"/>
        <v>-6371.41</v>
      </c>
      <c r="AO441" s="214">
        <f t="shared" si="250"/>
        <v>-0.60079302215935881</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199"/>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6"/>
        <v>15260</v>
      </c>
      <c r="AA442" s="455"/>
      <c r="AB442" s="455"/>
      <c r="AC442" s="87">
        <f t="shared" si="247"/>
        <v>15260</v>
      </c>
      <c r="AD442" s="462"/>
      <c r="AE442" s="461"/>
      <c r="AF442" s="87">
        <f t="shared" si="248"/>
        <v>12309.45</v>
      </c>
      <c r="AG442" s="456"/>
      <c r="AH442" s="457">
        <f t="shared" si="244"/>
        <v>-2950.5499999999993</v>
      </c>
      <c r="AI442" s="458">
        <f t="shared" si="251"/>
        <v>-0.19335190039318476</v>
      </c>
      <c r="AJ442" s="462"/>
      <c r="AK442" s="455"/>
      <c r="AL442" s="87">
        <f t="shared" si="249"/>
        <v>12950</v>
      </c>
      <c r="AM442" s="459"/>
      <c r="AN442" s="457">
        <f t="shared" si="245"/>
        <v>-640.54999999999927</v>
      </c>
      <c r="AO442" s="214">
        <f t="shared" si="250"/>
        <v>-4.9463320463320408E-2</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199"/>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6"/>
        <v>13643.7</v>
      </c>
      <c r="AA443" s="455"/>
      <c r="AB443" s="455"/>
      <c r="AC443" s="87">
        <f t="shared" si="247"/>
        <v>13643.7</v>
      </c>
      <c r="AD443" s="462"/>
      <c r="AE443" s="461"/>
      <c r="AF443" s="87">
        <f t="shared" si="248"/>
        <v>5751.2000000000007</v>
      </c>
      <c r="AG443" s="456"/>
      <c r="AH443" s="457">
        <f t="shared" si="244"/>
        <v>-7892.5</v>
      </c>
      <c r="AI443" s="97">
        <f t="shared" si="251"/>
        <v>-0.57847211533528287</v>
      </c>
      <c r="AJ443" s="462"/>
      <c r="AK443" s="455"/>
      <c r="AL443" s="87">
        <f t="shared" si="249"/>
        <v>11743.120000000003</v>
      </c>
      <c r="AM443" s="459"/>
      <c r="AN443" s="457">
        <f t="shared" si="245"/>
        <v>-5991.9200000000019</v>
      </c>
      <c r="AO443" s="214">
        <f t="shared" si="250"/>
        <v>-0.51024940560941223</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199"/>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6"/>
        <v>6055</v>
      </c>
      <c r="AA444" s="455"/>
      <c r="AB444" s="455"/>
      <c r="AC444" s="87">
        <f t="shared" si="247"/>
        <v>6055</v>
      </c>
      <c r="AD444" s="462"/>
      <c r="AE444" s="461"/>
      <c r="AF444" s="87">
        <f t="shared" si="248"/>
        <v>2668.25</v>
      </c>
      <c r="AG444" s="456"/>
      <c r="AH444" s="457">
        <f t="shared" si="244"/>
        <v>-3386.75</v>
      </c>
      <c r="AI444" s="458">
        <f t="shared" si="251"/>
        <v>-0.55933113129644918</v>
      </c>
      <c r="AJ444" s="462"/>
      <c r="AK444" s="455"/>
      <c r="AL444" s="87">
        <f t="shared" si="249"/>
        <v>3280.3599999999997</v>
      </c>
      <c r="AM444" s="459"/>
      <c r="AN444" s="457">
        <f t="shared" si="245"/>
        <v>-612.10999999999967</v>
      </c>
      <c r="AO444" s="214">
        <f t="shared" si="250"/>
        <v>-0.18659842212440089</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199"/>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6"/>
        <v>27237</v>
      </c>
      <c r="AA445" s="455"/>
      <c r="AB445" s="461"/>
      <c r="AC445" s="87">
        <f t="shared" si="247"/>
        <v>27237</v>
      </c>
      <c r="AD445" s="462"/>
      <c r="AE445" s="461"/>
      <c r="AF445" s="87">
        <f t="shared" si="248"/>
        <v>16801.73</v>
      </c>
      <c r="AG445" s="456"/>
      <c r="AH445" s="457">
        <f t="shared" si="244"/>
        <v>-10435.27</v>
      </c>
      <c r="AI445" s="97">
        <f t="shared" si="251"/>
        <v>-0.38312846495575875</v>
      </c>
      <c r="AJ445" s="462"/>
      <c r="AK445" s="455"/>
      <c r="AL445" s="87">
        <f t="shared" si="249"/>
        <v>37205.58</v>
      </c>
      <c r="AM445" s="459"/>
      <c r="AN445" s="457">
        <f t="shared" si="245"/>
        <v>-20403.850000000002</v>
      </c>
      <c r="AO445" s="214">
        <f t="shared" si="250"/>
        <v>-0.54840833014832724</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199"/>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6"/>
        <v>22320.083333333332</v>
      </c>
      <c r="AA446" s="455"/>
      <c r="AB446" s="461"/>
      <c r="AC446" s="87">
        <f t="shared" si="247"/>
        <v>22320.083333333332</v>
      </c>
      <c r="AD446" s="462"/>
      <c r="AE446" s="461"/>
      <c r="AF446" s="87">
        <f t="shared" si="248"/>
        <v>18066.690000000002</v>
      </c>
      <c r="AG446" s="456"/>
      <c r="AH446" s="457">
        <f t="shared" si="244"/>
        <v>-4253.3933333333298</v>
      </c>
      <c r="AI446" s="458">
        <f t="shared" si="251"/>
        <v>-0.19056350596062574</v>
      </c>
      <c r="AJ446" s="462"/>
      <c r="AK446" s="455"/>
      <c r="AL446" s="87">
        <f t="shared" si="249"/>
        <v>54337.5</v>
      </c>
      <c r="AM446" s="459"/>
      <c r="AN446" s="457">
        <f t="shared" si="245"/>
        <v>-36270.81</v>
      </c>
      <c r="AO446" s="214">
        <f t="shared" si="250"/>
        <v>-0.66750973084886123</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70" t="str">
        <f t="shared" si="199"/>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6"/>
        <v>57377.952271141425</v>
      </c>
      <c r="AA447" s="455"/>
      <c r="AB447" s="461"/>
      <c r="AC447" s="87">
        <f t="shared" si="247"/>
        <v>57377.952271141425</v>
      </c>
      <c r="AD447" s="462"/>
      <c r="AE447" s="461"/>
      <c r="AF447" s="446">
        <f>SUMIFS(BV_Data_An_Cour!$P:$P,BV_Data_An_Cour!$V:$V,$V447)</f>
        <v>45091.78</v>
      </c>
      <c r="AG447" s="456"/>
      <c r="AH447" s="457">
        <f t="shared" ref="AH447:AH450" si="258">AF447-AC447</f>
        <v>-12286.172271141426</v>
      </c>
      <c r="AI447" s="458">
        <f t="shared" ref="AI447:AI450" si="259">IF(AC447=0,0,AH447/AC447)</f>
        <v>-0.21412706074073035</v>
      </c>
      <c r="AJ447" s="462"/>
      <c r="AK447" s="455"/>
      <c r="AL447" s="87">
        <f>SUMIFS(BV_Data_An_Prec!$P:$P,BV_Data_An_Prec!$V:$V,$V447)</f>
        <v>48858.19</v>
      </c>
      <c r="AM447" s="459"/>
      <c r="AN447" s="457">
        <f t="shared" ref="AN447:AN450" si="260">AF447-AL447</f>
        <v>-3766.4100000000035</v>
      </c>
      <c r="AO447" s="214">
        <f t="shared" ref="AO447:AO450" si="261">IF(AL447=0,0,AN447/AL447)</f>
        <v>-7.7088610937081442E-2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199"/>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6"/>
        <v>0</v>
      </c>
      <c r="AA448" s="455"/>
      <c r="AB448" s="461"/>
      <c r="AC448" s="87">
        <f t="shared" si="247"/>
        <v>0</v>
      </c>
      <c r="AD448" s="462"/>
      <c r="AE448" s="461"/>
      <c r="AF448" s="87">
        <f>+SUMIF($C:$C,$V448,L:L)</f>
        <v>0</v>
      </c>
      <c r="AG448" s="456"/>
      <c r="AH448" s="457">
        <f t="shared" si="258"/>
        <v>0</v>
      </c>
      <c r="AI448" s="458">
        <f t="shared" si="259"/>
        <v>0</v>
      </c>
      <c r="AJ448" s="462"/>
      <c r="AK448" s="455"/>
      <c r="AL448" s="87">
        <f t="shared" si="249"/>
        <v>0</v>
      </c>
      <c r="AM448" s="459"/>
      <c r="AN448" s="457">
        <f t="shared" si="260"/>
        <v>0</v>
      </c>
      <c r="AO448" s="214">
        <f t="shared" si="26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199"/>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6"/>
        <v>0</v>
      </c>
      <c r="AA449" s="455"/>
      <c r="AB449" s="461"/>
      <c r="AC449" s="87">
        <f t="shared" si="247"/>
        <v>0</v>
      </c>
      <c r="AD449" s="462"/>
      <c r="AE449" s="461"/>
      <c r="AF449" s="87">
        <f>+SUMIF($C:$C,$V449,L:L)</f>
        <v>0</v>
      </c>
      <c r="AG449" s="456"/>
      <c r="AH449" s="457">
        <f t="shared" si="258"/>
        <v>0</v>
      </c>
      <c r="AI449" s="458">
        <f t="shared" si="259"/>
        <v>0</v>
      </c>
      <c r="AJ449" s="462"/>
      <c r="AK449" s="455"/>
      <c r="AL449" s="87">
        <f t="shared" si="249"/>
        <v>0</v>
      </c>
      <c r="AM449" s="459"/>
      <c r="AN449" s="457">
        <f t="shared" si="260"/>
        <v>0</v>
      </c>
      <c r="AO449" s="214">
        <f t="shared" si="26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199"/>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6"/>
        <v>0</v>
      </c>
      <c r="AA450" s="455"/>
      <c r="AB450" s="461"/>
      <c r="AC450" s="87">
        <f t="shared" si="247"/>
        <v>0</v>
      </c>
      <c r="AD450" s="462"/>
      <c r="AE450" s="461"/>
      <c r="AF450" s="87">
        <f>+SUMIF($C:$C,$V450,L:L)</f>
        <v>0</v>
      </c>
      <c r="AG450" s="456"/>
      <c r="AH450" s="457">
        <f t="shared" si="258"/>
        <v>0</v>
      </c>
      <c r="AI450" s="458">
        <f t="shared" si="259"/>
        <v>0</v>
      </c>
      <c r="AJ450" s="462"/>
      <c r="AK450" s="455"/>
      <c r="AL450" s="87">
        <f t="shared" si="249"/>
        <v>0</v>
      </c>
      <c r="AM450" s="459"/>
      <c r="AN450" s="457">
        <f t="shared" si="260"/>
        <v>0</v>
      </c>
      <c r="AO450" s="214">
        <f t="shared" si="26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199"/>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0.22376333847384944</v>
      </c>
      <c r="Y451" s="88"/>
      <c r="Z451" s="90">
        <f>+SUM(Z433:Z450)</f>
        <v>814762.65296841052</v>
      </c>
      <c r="AA451" s="89">
        <f>AC451/+AC406</f>
        <v>0.22376333847384944</v>
      </c>
      <c r="AB451" s="88"/>
      <c r="AC451" s="90">
        <f>+SUM(AC433:AC450)</f>
        <v>814762.65296841052</v>
      </c>
      <c r="AD451" s="91">
        <f>AF451/AF406</f>
        <v>0.15758368431506548</v>
      </c>
      <c r="AE451" s="88"/>
      <c r="AF451" s="90">
        <f>+SUM(AF433:AF450)</f>
        <v>600513.76</v>
      </c>
      <c r="AG451" s="99"/>
      <c r="AH451" s="555">
        <f>+SUM(AH433:AH450)</f>
        <v>-214248.89296841039</v>
      </c>
      <c r="AI451" s="89">
        <f>AH451/AC451</f>
        <v>-0.26295865696327775</v>
      </c>
      <c r="AJ451" s="91">
        <f>IF($AL$406=0,0,AL451/$AL$406)</f>
        <v>0.29727057322232947</v>
      </c>
      <c r="AK451" s="89"/>
      <c r="AL451" s="90">
        <f>+SUM(AL433:AL450)</f>
        <v>966303.73</v>
      </c>
      <c r="AM451" s="100"/>
      <c r="AN451" s="93">
        <f>+SUM(AN433:AN450)</f>
        <v>-365789.96999999986</v>
      </c>
      <c r="AO451" s="636">
        <f>IF(AL451=0,0,AN451/AL451)</f>
        <v>-0.37854554281809494</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199"/>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original'!$A$8:$A$496=$A452)*('Budget original'!$C$3:$AO$3=Z$2),'Budget original'!$C$8:$AO$496)</f>
        <v>182000</v>
      </c>
      <c r="AA452" s="455"/>
      <c r="AB452" s="461"/>
      <c r="AC452" s="87">
        <f>+SUMPRODUCT(('Budget révisé'!$A$8:$A$496=$A452)*('Budget révisé'!$C$3:$AO$3=AC$2),'Budget révisé'!$C$8:$AO$496)</f>
        <v>182000</v>
      </c>
      <c r="AD452" s="462"/>
      <c r="AE452" s="461"/>
      <c r="AF452" s="87">
        <f>SUMIFS(BV_Data_An_Cour!$P:$P,BV_Data_An_Cour!$V:$V,$V452)</f>
        <v>182000</v>
      </c>
      <c r="AG452" s="456"/>
      <c r="AH452" s="457">
        <f t="shared" ref="AH452:AH460" si="262">AF452-AC452</f>
        <v>0</v>
      </c>
      <c r="AI452" s="458">
        <f>IF(AC452=0,0,AH452/AC452)</f>
        <v>0</v>
      </c>
      <c r="AJ452" s="462"/>
      <c r="AK452" s="455"/>
      <c r="AL452" s="87">
        <f>SUMIFS(BV_Data_An_Prec!$P:$P,BV_Data_An_Prec!$V:$V,$V452)</f>
        <v>189118.88999999998</v>
      </c>
      <c r="AM452" s="459"/>
      <c r="AN452" s="457">
        <f t="shared" ref="AN452:AN460" si="263">AF452-AL452</f>
        <v>-7118.8899999999849</v>
      </c>
      <c r="AO452" s="214">
        <f t="shared" ref="AO452:AO460" si="264">IF(AL452=0,0,AN452/AL452)</f>
        <v>-3.7642405790346938E-2</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199"/>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original'!$A$8:$A$496=$A453)*('Budget original'!$C$3:$AO$3=Z$2),'Budget original'!$C$8:$AO$496)</f>
        <v>33670</v>
      </c>
      <c r="AA453" s="455"/>
      <c r="AB453" s="461"/>
      <c r="AC453" s="87">
        <f>+SUMPRODUCT(('Budget révisé'!$A$8:$A$496=$A453)*('Budget révisé'!$C$3:$AO$3=AC$2),'Budget révisé'!$C$8:$AO$496)</f>
        <v>33670</v>
      </c>
      <c r="AD453" s="462"/>
      <c r="AE453" s="461"/>
      <c r="AF453" s="87">
        <f>SUMIFS(BV_Data_An_Cour!$P:$P,BV_Data_An_Cour!$V:$V,$V453)</f>
        <v>33670</v>
      </c>
      <c r="AG453" s="456"/>
      <c r="AH453" s="457">
        <f t="shared" si="262"/>
        <v>0</v>
      </c>
      <c r="AI453" s="458">
        <f t="shared" ref="AI453:AI460" si="265">IF(AC453=0,0,AH453/AC453)</f>
        <v>0</v>
      </c>
      <c r="AJ453" s="462"/>
      <c r="AK453" s="455"/>
      <c r="AL453" s="87">
        <f>SUMIFS(BV_Data_An_Prec!$P:$P,BV_Data_An_Prec!$V:$V,$V453)</f>
        <v>32900</v>
      </c>
      <c r="AM453" s="459"/>
      <c r="AN453" s="457">
        <f t="shared" si="263"/>
        <v>770</v>
      </c>
      <c r="AO453" s="214">
        <f t="shared" si="264"/>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199"/>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original'!$A$8:$A$496=$A454)*('Budget original'!$C$3:$AO$3=Z$2),'Budget original'!$C$8:$AO$496)</f>
        <v>22400</v>
      </c>
      <c r="AA454" s="445"/>
      <c r="AB454" s="464"/>
      <c r="AC454" s="446">
        <f>+SUMPRODUCT(('Budget révisé'!$A$8:$A$496=$A454)*('Budget révisé'!$C$3:$AO$3=AC$2),'Budget révisé'!$C$8:$AO$496)</f>
        <v>22400</v>
      </c>
      <c r="AD454" s="465"/>
      <c r="AE454" s="464"/>
      <c r="AF454" s="446">
        <f>SUMIFS(BV_Data_An_Cour!$P:$P,BV_Data_An_Cour!$V:$V,$V454)</f>
        <v>22400</v>
      </c>
      <c r="AG454" s="447"/>
      <c r="AH454" s="448">
        <f t="shared" si="262"/>
        <v>0</v>
      </c>
      <c r="AI454" s="466">
        <f t="shared" si="265"/>
        <v>0</v>
      </c>
      <c r="AJ454" s="465"/>
      <c r="AK454" s="445"/>
      <c r="AL454" s="446">
        <f>SUMIFS(BV_Data_An_Prec!$P:$P,BV_Data_An_Prec!$V:$V,$V454)</f>
        <v>22050</v>
      </c>
      <c r="AM454" s="450"/>
      <c r="AN454" s="448">
        <f t="shared" si="263"/>
        <v>350</v>
      </c>
      <c r="AO454" s="451">
        <f t="shared" si="264"/>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199"/>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original'!$A$8:$A$496=$A455)*('Budget original'!$C$3:$AO$3=Z$2),'Budget original'!$C$8:$AO$496)</f>
        <v>0</v>
      </c>
      <c r="AA455" s="455"/>
      <c r="AB455" s="461"/>
      <c r="AC455" s="87">
        <f>+SUMPRODUCT(('Budget révisé'!$A$8:$A$496=$A455)*('Budget révisé'!$C$3:$AO$3=AC$2),'Budget révisé'!$C$8:$AO$496)</f>
        <v>0</v>
      </c>
      <c r="AD455" s="462"/>
      <c r="AE455" s="461"/>
      <c r="AF455" s="87">
        <f>SUMIFS(BV_Data_An_Cour!$P:$P,BV_Data_An_Cour!$V:$V,$V455)</f>
        <v>0</v>
      </c>
      <c r="AG455" s="456"/>
      <c r="AH455" s="457">
        <f t="shared" si="262"/>
        <v>0</v>
      </c>
      <c r="AI455" s="458">
        <f t="shared" si="265"/>
        <v>0</v>
      </c>
      <c r="AJ455" s="462"/>
      <c r="AK455" s="455"/>
      <c r="AL455" s="87">
        <f>SUMIFS(BV_Data_An_Prec!$P:$P,BV_Data_An_Prec!$V:$V,$V455)</f>
        <v>0</v>
      </c>
      <c r="AM455" s="459"/>
      <c r="AN455" s="457">
        <f t="shared" si="263"/>
        <v>0</v>
      </c>
      <c r="AO455" s="214">
        <f t="shared" si="264"/>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199"/>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original'!$A$8:$A$496=$A456)*('Budget original'!$C$3:$AO$3=Z$2),'Budget original'!$C$8:$AO$496)</f>
        <v>25956.583333333343</v>
      </c>
      <c r="AA456" s="445"/>
      <c r="AB456" s="464"/>
      <c r="AC456" s="446">
        <f>+SUMPRODUCT(('Budget révisé'!$A$8:$A$496=$A456)*('Budget révisé'!$C$3:$AO$3=AC$2),'Budget révisé'!$C$8:$AO$496)</f>
        <v>25956.583333333343</v>
      </c>
      <c r="AD456" s="465"/>
      <c r="AE456" s="464"/>
      <c r="AF456" s="446">
        <f>SUMIF(BV_Data_An_Cour!$V:$V,Print_AAD!$V456,BV_Data_An_Cour!$P:$P)</f>
        <v>25956.77</v>
      </c>
      <c r="AG456" s="447"/>
      <c r="AH456" s="448">
        <f t="shared" si="262"/>
        <v>0.18666666665740195</v>
      </c>
      <c r="AI456" s="466">
        <f t="shared" si="265"/>
        <v>7.1914960555569482E-6</v>
      </c>
      <c r="AJ456" s="465"/>
      <c r="AK456" s="445"/>
      <c r="AL456" s="446">
        <f>SUMIF(BV_Data_An_Prec!$V:$V,Print_AAD!$V456,BV_Data_An_Prec!$P:$P)</f>
        <v>10500</v>
      </c>
      <c r="AM456" s="450"/>
      <c r="AN456" s="448">
        <f t="shared" si="263"/>
        <v>15456.77</v>
      </c>
      <c r="AO456" s="451">
        <f t="shared" si="264"/>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199"/>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original'!$A$8:$A$496=$A457)*('Budget original'!$C$3:$AO$3=Z$2),'Budget original'!$C$8:$AO$496)</f>
        <v>26670</v>
      </c>
      <c r="AA457" s="476"/>
      <c r="AB457" s="477"/>
      <c r="AC457" s="87">
        <f>+SUMPRODUCT(('Budget révisé'!$A$8:$A$496=$A457)*('Budget révisé'!$C$3:$AO$3=AC$2),'Budget révisé'!$C$8:$AO$496)</f>
        <v>26670</v>
      </c>
      <c r="AD457" s="462"/>
      <c r="AE457" s="461"/>
      <c r="AF457" s="87">
        <f>SUMIFS(BV_Data_An_Cour!$P:$P,BV_Data_An_Cour!$V:$V,$V457)</f>
        <v>15315.14</v>
      </c>
      <c r="AG457" s="456"/>
      <c r="AH457" s="457">
        <f t="shared" si="262"/>
        <v>-11354.86</v>
      </c>
      <c r="AI457" s="458">
        <f t="shared" si="265"/>
        <v>-0.42575403074615675</v>
      </c>
      <c r="AJ457" s="462"/>
      <c r="AK457" s="455"/>
      <c r="AL457" s="87">
        <f>SUMIFS(BV_Data_An_Prec!$P:$P,BV_Data_An_Prec!$V:$V,$V457)</f>
        <v>25689.999999999996</v>
      </c>
      <c r="AM457" s="459"/>
      <c r="AN457" s="457">
        <f t="shared" si="263"/>
        <v>-10374.859999999997</v>
      </c>
      <c r="AO457" s="214">
        <f t="shared" si="264"/>
        <v>-0.40384818995718175</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199"/>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original'!$A$8:$A$496=$A458)*('Budget original'!$C$3:$AO$3=Z$2),'Budget original'!$C$8:$AO$496)</f>
        <v>43520.166666666672</v>
      </c>
      <c r="AA458" s="455"/>
      <c r="AB458" s="461"/>
      <c r="AC458" s="87">
        <f>+SUMPRODUCT(('Budget révisé'!$A$8:$A$496=$A458)*('Budget révisé'!$C$3:$AO$3=AC$2),'Budget révisé'!$C$8:$AO$496)</f>
        <v>43520.166666666672</v>
      </c>
      <c r="AD458" s="462"/>
      <c r="AE458" s="461"/>
      <c r="AF458" s="87">
        <f>SUMIFS(BV_Data_An_Cour!$P:$P,BV_Data_An_Cour!$V:$V,$V458)</f>
        <v>45881.329999999994</v>
      </c>
      <c r="AG458" s="456"/>
      <c r="AH458" s="457">
        <f t="shared" si="262"/>
        <v>2361.163333333323</v>
      </c>
      <c r="AI458" s="458">
        <f t="shared" si="265"/>
        <v>5.4254464405390362E-2</v>
      </c>
      <c r="AJ458" s="462"/>
      <c r="AK458" s="455"/>
      <c r="AL458" s="87">
        <f>SUMIFS(BV_Data_An_Prec!$P:$P,BV_Data_An_Prec!$V:$V,$V458)</f>
        <v>56175</v>
      </c>
      <c r="AM458" s="459"/>
      <c r="AN458" s="457">
        <f t="shared" si="263"/>
        <v>-10293.670000000006</v>
      </c>
      <c r="AO458" s="214">
        <f t="shared" si="264"/>
        <v>-0.18324290164664006</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199"/>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original'!$A$8:$A$496=$A459)*('Budget original'!$C$3:$AO$3=Z$2),'Budget original'!$C$8:$AO$496)</f>
        <v>7000</v>
      </c>
      <c r="AA459" s="445"/>
      <c r="AB459" s="464"/>
      <c r="AC459" s="446">
        <f>+SUMPRODUCT(('Budget révisé'!$A$8:$A$496=$A459)*('Budget révisé'!$C$3:$AO$3=AC$2),'Budget révisé'!$C$8:$AO$496)</f>
        <v>7000</v>
      </c>
      <c r="AD459" s="465"/>
      <c r="AE459" s="464"/>
      <c r="AF459" s="446">
        <f>SUMIFS(BV_Data_An_Cour!$P:$P,BV_Data_An_Cour!$V:$V,$V459)</f>
        <v>6271.07</v>
      </c>
      <c r="AG459" s="447"/>
      <c r="AH459" s="448">
        <f t="shared" si="262"/>
        <v>-728.93000000000029</v>
      </c>
      <c r="AI459" s="466">
        <f t="shared" si="265"/>
        <v>-0.10413285714285718</v>
      </c>
      <c r="AJ459" s="465"/>
      <c r="AK459" s="445"/>
      <c r="AL459" s="446">
        <f>SUMIFS(BV_Data_An_Prec!$P:$P,BV_Data_An_Prec!$V:$V,$V459)</f>
        <v>6188</v>
      </c>
      <c r="AM459" s="450"/>
      <c r="AN459" s="448">
        <f t="shared" si="263"/>
        <v>83.069999999999709</v>
      </c>
      <c r="AO459" s="451">
        <f t="shared" si="264"/>
        <v>1.3424369747899113E-2</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199"/>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original'!$A$8:$A$496=$A460)*('Budget original'!$C$3:$AO$3=Z$2),'Budget original'!$C$8:$AO$496)</f>
        <v>6300</v>
      </c>
      <c r="AA460" s="455"/>
      <c r="AB460" s="461"/>
      <c r="AC460" s="87">
        <f>+SUMPRODUCT(('Budget révisé'!$A$8:$A$496=$A460)*('Budget révisé'!$C$3:$AO$3=AC$2),'Budget révisé'!$C$8:$AO$496)</f>
        <v>6300</v>
      </c>
      <c r="AD460" s="462"/>
      <c r="AE460" s="461"/>
      <c r="AF460" s="87">
        <f>SUMIFS(BV_Data_An_Cour!$P:$P,BV_Data_An_Cour!$V:$V,$V460)</f>
        <v>0</v>
      </c>
      <c r="AG460" s="456"/>
      <c r="AH460" s="457">
        <f t="shared" si="262"/>
        <v>-6300</v>
      </c>
      <c r="AI460" s="478">
        <f t="shared" si="265"/>
        <v>-1</v>
      </c>
      <c r="AJ460" s="455"/>
      <c r="AK460" s="455"/>
      <c r="AL460" s="87">
        <f>SUMIFS(BV_Data_An_Prec!$P:$P,BV_Data_An_Prec!$V:$V,$V460)</f>
        <v>6300</v>
      </c>
      <c r="AM460" s="459"/>
      <c r="AN460" s="457">
        <f t="shared" si="263"/>
        <v>-6300</v>
      </c>
      <c r="AO460" s="214">
        <f t="shared" si="264"/>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199"/>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199"/>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199"/>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199"/>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199"/>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9.544068799947443E-2</v>
      </c>
      <c r="Y465" s="88"/>
      <c r="Z465" s="90">
        <f>SUM(Z452:Z464)</f>
        <v>347516.75000000006</v>
      </c>
      <c r="AA465" s="89">
        <f>AC465/+AC406</f>
        <v>9.544068799947443E-2</v>
      </c>
      <c r="AB465" s="88"/>
      <c r="AC465" s="90">
        <f>SUM(AC452:AC464)</f>
        <v>347516.75000000006</v>
      </c>
      <c r="AD465" s="91">
        <f>AF465/AF406</f>
        <v>8.6989005379794232E-2</v>
      </c>
      <c r="AE465" s="88"/>
      <c r="AF465" s="90">
        <f>SUM(AF452:AF464)</f>
        <v>331494.31000000006</v>
      </c>
      <c r="AG465" s="99"/>
      <c r="AH465" s="557">
        <f>SUM(AH452:AH464)</f>
        <v>-16022.440000000021</v>
      </c>
      <c r="AI465" s="89">
        <f>IF(AC465=0,0,AH465/AC465)</f>
        <v>-4.6105518654856258E-2</v>
      </c>
      <c r="AJ465" s="91">
        <f>IF($AL$406=0,0,AL465/$AL$406)</f>
        <v>0.10734120859713393</v>
      </c>
      <c r="AK465" s="89"/>
      <c r="AL465" s="90">
        <f>SUM(AL452:AL464)</f>
        <v>348921.88999999996</v>
      </c>
      <c r="AM465" s="100"/>
      <c r="AN465" s="93">
        <f>SUM(AN452:AN464)</f>
        <v>-17427.579999999987</v>
      </c>
      <c r="AO465" s="636">
        <f>IF(AL465=0,0,AN465/AL465)</f>
        <v>-4.9946937980875863E-2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199"/>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6">AF466-AC466</f>
        <v>0</v>
      </c>
      <c r="AI466" s="458"/>
      <c r="AJ466" s="462"/>
      <c r="AK466" s="455"/>
      <c r="AL466" s="105"/>
      <c r="AM466" s="479"/>
      <c r="AN466" s="457">
        <f t="shared" ref="AN466:AN472" si="26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199"/>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1.0617033956244999</v>
      </c>
      <c r="Y467" s="88"/>
      <c r="Z467" s="90">
        <f>Z418+Z432+Z451+Z465</f>
        <v>3865853.4556396138</v>
      </c>
      <c r="AA467" s="89">
        <f>AC467/+AC406</f>
        <v>1.0617033956244999</v>
      </c>
      <c r="AB467" s="88"/>
      <c r="AC467" s="90">
        <f>AC418+AC432+AC451+AC465</f>
        <v>3865853.4556396138</v>
      </c>
      <c r="AD467" s="91">
        <f>AF467/AF406</f>
        <v>0.95796281646116677</v>
      </c>
      <c r="AE467" s="88"/>
      <c r="AF467" s="90">
        <f>AF418+AF432+AF451+AF465</f>
        <v>3650567.35</v>
      </c>
      <c r="AG467" s="99"/>
      <c r="AH467" s="93">
        <f t="shared" si="266"/>
        <v>-215286.1056396137</v>
      </c>
      <c r="AI467" s="89">
        <f>AH467/AC467</f>
        <v>-5.5689153277537817E-2</v>
      </c>
      <c r="AJ467" s="91">
        <f>IF($AL$406=0,0,AL467/$AL$406)</f>
        <v>1.260977206526074</v>
      </c>
      <c r="AK467" s="89"/>
      <c r="AL467" s="90">
        <f>AL418+AL432+AL451+AL465</f>
        <v>4098915.56</v>
      </c>
      <c r="AM467" s="100"/>
      <c r="AN467" s="93">
        <f t="shared" si="267"/>
        <v>-448348.20999999996</v>
      </c>
      <c r="AO467" s="453">
        <f>IF(AL467=0,0,AN467/AL467)</f>
        <v>-0.10938215326397208</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199"/>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original'!$A$8:$A$496=$A468)*('Budget original'!$C$3:$AO$3=Z$2),'Budget original'!$C$8:$AO$496)</f>
        <v>0</v>
      </c>
      <c r="AA468" s="249"/>
      <c r="AB468" s="250"/>
      <c r="AC468" s="248">
        <f>+SUMPRODUCT(('Budget révisé'!$A$8:$A$496=$A468)*('Budget révisé'!$C$3:$AO$3=AC$2),'Budget révisé'!$C$8:$AO$496)</f>
        <v>0</v>
      </c>
      <c r="AD468" s="252"/>
      <c r="AE468" s="250"/>
      <c r="AF468" s="87">
        <f>-SUMIFS(BV_Data_An_Cour!$P:$P,BV_Data_An_Cour!$V:$V,$V468)</f>
        <v>167215.39000000001</v>
      </c>
      <c r="AG468" s="251"/>
      <c r="AH468" s="482">
        <f t="shared" si="266"/>
        <v>167215.39000000001</v>
      </c>
      <c r="AI468" s="483" t="e">
        <f t="shared" ref="AI468:AI472" si="268">IF(AH468=0,0,AH468/AC468)</f>
        <v>#DIV/0!</v>
      </c>
      <c r="AJ468" s="252"/>
      <c r="AK468" s="249"/>
      <c r="AL468" s="484">
        <f>-SUMIFS(BV_Data_An_Prec!$P:$P,BV_Data_An_Prec!$V:$V,$V468)</f>
        <v>209396.77</v>
      </c>
      <c r="AM468" s="253"/>
      <c r="AN468" s="482">
        <f t="shared" si="267"/>
        <v>-42181.379999999976</v>
      </c>
      <c r="AO468" s="261">
        <f>IF(AL468=0,0,AN468/AL468)</f>
        <v>-0.2014423622675745</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199"/>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69">+SUMIF($C:$C,$V469,F:F)</f>
        <v>413986.54840316204</v>
      </c>
      <c r="AA469" s="255"/>
      <c r="AB469" s="247"/>
      <c r="AC469" s="254">
        <f t="shared" ref="AC469:AC479" si="270">+SUMIF($C:$C,$V469,I:I)</f>
        <v>413986.54840316204</v>
      </c>
      <c r="AD469" s="258"/>
      <c r="AE469" s="247"/>
      <c r="AF469" s="254">
        <f t="shared" ref="AF469:AF479" si="271">+SUMIF($C:$C,$V469,L:L)</f>
        <v>480818</v>
      </c>
      <c r="AG469" s="256"/>
      <c r="AH469" s="482">
        <f t="shared" si="266"/>
        <v>66831.451596837956</v>
      </c>
      <c r="AI469" s="257">
        <f>IF(AC469=0,0,AH469/AC469)</f>
        <v>0.16143387231933426</v>
      </c>
      <c r="AJ469" s="258"/>
      <c r="AK469" s="255"/>
      <c r="AL469" s="259">
        <f t="shared" ref="AL469:AL479" si="272">+SUMIF($C:$C,$V469,Q:Q)</f>
        <v>602493.85</v>
      </c>
      <c r="AM469" s="260"/>
      <c r="AN469" s="482">
        <f t="shared" si="267"/>
        <v>-121675.84999999998</v>
      </c>
      <c r="AO469" s="261">
        <f>IF(AL469=0,0,AN469/AL469)</f>
        <v>-0.20195367969316197</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199"/>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69"/>
        <v>51452.21808203253</v>
      </c>
      <c r="AA470" s="255"/>
      <c r="AB470" s="247"/>
      <c r="AC470" s="254">
        <f t="shared" si="270"/>
        <v>51452.21808203253</v>
      </c>
      <c r="AD470" s="258"/>
      <c r="AE470" s="247"/>
      <c r="AF470" s="254">
        <f t="shared" si="271"/>
        <v>96776.52</v>
      </c>
      <c r="AG470" s="256"/>
      <c r="AH470" s="482">
        <f t="shared" si="266"/>
        <v>45324.301917967474</v>
      </c>
      <c r="AI470" s="257">
        <f t="shared" si="268"/>
        <v>0.88090083591158208</v>
      </c>
      <c r="AJ470" s="258"/>
      <c r="AK470" s="255"/>
      <c r="AL470" s="259">
        <f t="shared" si="272"/>
        <v>157635.39000000001</v>
      </c>
      <c r="AM470" s="260"/>
      <c r="AN470" s="482">
        <f t="shared" si="267"/>
        <v>-60858.87000000001</v>
      </c>
      <c r="AO470" s="261">
        <f t="shared" ref="AO470:AO472" si="273">IF(AL470=0,0,AN470/AL470)</f>
        <v>-0.38607364754830753</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199"/>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69"/>
        <v>0</v>
      </c>
      <c r="AA471" s="255"/>
      <c r="AB471" s="247"/>
      <c r="AC471" s="254">
        <f t="shared" si="270"/>
        <v>0</v>
      </c>
      <c r="AD471" s="258"/>
      <c r="AE471" s="247"/>
      <c r="AF471" s="254">
        <f t="shared" si="271"/>
        <v>0</v>
      </c>
      <c r="AG471" s="256"/>
      <c r="AH471" s="482">
        <f t="shared" si="266"/>
        <v>0</v>
      </c>
      <c r="AI471" s="257">
        <f t="shared" si="268"/>
        <v>0</v>
      </c>
      <c r="AJ471" s="258"/>
      <c r="AK471" s="255"/>
      <c r="AL471" s="259">
        <f t="shared" si="272"/>
        <v>0</v>
      </c>
      <c r="AM471" s="260"/>
      <c r="AN471" s="482">
        <f t="shared" si="267"/>
        <v>0</v>
      </c>
      <c r="AO471" s="261">
        <f t="shared" si="27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199"/>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69"/>
        <v>0</v>
      </c>
      <c r="AA472" s="255"/>
      <c r="AB472" s="247"/>
      <c r="AC472" s="254">
        <f t="shared" si="270"/>
        <v>0</v>
      </c>
      <c r="AD472" s="258"/>
      <c r="AE472" s="247"/>
      <c r="AF472" s="254">
        <f t="shared" si="271"/>
        <v>0</v>
      </c>
      <c r="AG472" s="256"/>
      <c r="AH472" s="482">
        <f t="shared" si="266"/>
        <v>0</v>
      </c>
      <c r="AI472" s="257">
        <f t="shared" si="268"/>
        <v>0</v>
      </c>
      <c r="AJ472" s="258"/>
      <c r="AK472" s="255"/>
      <c r="AL472" s="259">
        <f t="shared" si="272"/>
        <v>0</v>
      </c>
      <c r="AM472" s="260"/>
      <c r="AN472" s="482">
        <f t="shared" si="267"/>
        <v>0</v>
      </c>
      <c r="AO472" s="261">
        <f t="shared" si="27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199"/>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69"/>
        <v>17000</v>
      </c>
      <c r="AA473" s="255"/>
      <c r="AB473" s="247"/>
      <c r="AC473" s="254">
        <f t="shared" si="270"/>
        <v>17000</v>
      </c>
      <c r="AD473" s="258"/>
      <c r="AE473" s="247"/>
      <c r="AF473" s="254">
        <f t="shared" si="271"/>
        <v>17000</v>
      </c>
      <c r="AG473" s="256"/>
      <c r="AH473" s="482">
        <f t="shared" ref="AH473:AH478" si="274">AF473-AC473</f>
        <v>0</v>
      </c>
      <c r="AI473" s="257">
        <f t="shared" ref="AI473:AI478" si="275">IF(AH473=0,0,AH473/AC473)</f>
        <v>0</v>
      </c>
      <c r="AJ473" s="258"/>
      <c r="AK473" s="255"/>
      <c r="AL473" s="259">
        <f t="shared" si="272"/>
        <v>0</v>
      </c>
      <c r="AM473" s="260"/>
      <c r="AN473" s="482">
        <f t="shared" ref="AN473:AN475" si="276">AF473-AL473</f>
        <v>17000</v>
      </c>
      <c r="AO473" s="261">
        <f t="shared" ref="AO473:AO475" si="27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199"/>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69"/>
        <v>0</v>
      </c>
      <c r="AA474" s="255"/>
      <c r="AB474" s="247"/>
      <c r="AC474" s="254">
        <f t="shared" si="270"/>
        <v>0</v>
      </c>
      <c r="AD474" s="258"/>
      <c r="AE474" s="247"/>
      <c r="AF474" s="254">
        <f t="shared" si="271"/>
        <v>0</v>
      </c>
      <c r="AG474" s="256"/>
      <c r="AH474" s="482">
        <f t="shared" si="274"/>
        <v>0</v>
      </c>
      <c r="AI474" s="257">
        <f t="shared" si="275"/>
        <v>0</v>
      </c>
      <c r="AJ474" s="258"/>
      <c r="AK474" s="255"/>
      <c r="AL474" s="259">
        <f t="shared" si="272"/>
        <v>0</v>
      </c>
      <c r="AM474" s="260"/>
      <c r="AN474" s="482">
        <f t="shared" si="276"/>
        <v>0</v>
      </c>
      <c r="AO474" s="261">
        <f t="shared" si="27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199"/>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69"/>
        <v>0</v>
      </c>
      <c r="AA475" s="255"/>
      <c r="AB475" s="247"/>
      <c r="AC475" s="254">
        <f t="shared" si="270"/>
        <v>0</v>
      </c>
      <c r="AD475" s="258"/>
      <c r="AE475" s="247"/>
      <c r="AF475" s="254">
        <f t="shared" si="271"/>
        <v>0</v>
      </c>
      <c r="AG475" s="256"/>
      <c r="AH475" s="482">
        <f t="shared" si="274"/>
        <v>0</v>
      </c>
      <c r="AI475" s="257">
        <f t="shared" si="275"/>
        <v>0</v>
      </c>
      <c r="AJ475" s="258"/>
      <c r="AK475" s="255"/>
      <c r="AL475" s="259">
        <f t="shared" si="272"/>
        <v>0</v>
      </c>
      <c r="AM475" s="260"/>
      <c r="AN475" s="482">
        <f t="shared" si="276"/>
        <v>0</v>
      </c>
      <c r="AO475" s="261">
        <f t="shared" si="27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199"/>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69"/>
        <v>0</v>
      </c>
      <c r="AA476" s="255"/>
      <c r="AB476" s="247"/>
      <c r="AC476" s="254">
        <f t="shared" si="270"/>
        <v>0</v>
      </c>
      <c r="AD476" s="258"/>
      <c r="AE476" s="247"/>
      <c r="AF476" s="254">
        <f t="shared" si="271"/>
        <v>0</v>
      </c>
      <c r="AG476" s="256"/>
      <c r="AH476" s="482">
        <f t="shared" si="274"/>
        <v>0</v>
      </c>
      <c r="AI476" s="257">
        <f t="shared" si="275"/>
        <v>0</v>
      </c>
      <c r="AJ476" s="258"/>
      <c r="AK476" s="255"/>
      <c r="AL476" s="259">
        <f t="shared" si="272"/>
        <v>0</v>
      </c>
      <c r="AM476" s="260"/>
      <c r="AN476" s="482">
        <f t="shared" ref="AN476:AN479" si="278">AF476-AL476</f>
        <v>0</v>
      </c>
      <c r="AO476" s="261">
        <f t="shared" ref="AO476:AO479" si="27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199"/>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69"/>
        <v>0</v>
      </c>
      <c r="AA477" s="255"/>
      <c r="AB477" s="247"/>
      <c r="AC477" s="254">
        <f t="shared" si="270"/>
        <v>0</v>
      </c>
      <c r="AD477" s="258"/>
      <c r="AE477" s="247"/>
      <c r="AF477" s="254">
        <f t="shared" si="271"/>
        <v>0</v>
      </c>
      <c r="AG477" s="256"/>
      <c r="AH477" s="482">
        <f t="shared" si="274"/>
        <v>0</v>
      </c>
      <c r="AI477" s="257">
        <f t="shared" si="275"/>
        <v>0</v>
      </c>
      <c r="AJ477" s="258"/>
      <c r="AK477" s="255"/>
      <c r="AL477" s="259">
        <f t="shared" si="272"/>
        <v>0</v>
      </c>
      <c r="AM477" s="260"/>
      <c r="AN477" s="482">
        <f t="shared" si="278"/>
        <v>0</v>
      </c>
      <c r="AO477" s="261">
        <f t="shared" si="27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199"/>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69"/>
        <v>0</v>
      </c>
      <c r="AA478" s="255"/>
      <c r="AB478" s="247"/>
      <c r="AC478" s="254">
        <f t="shared" si="270"/>
        <v>0</v>
      </c>
      <c r="AD478" s="258"/>
      <c r="AE478" s="247"/>
      <c r="AF478" s="254">
        <f t="shared" si="271"/>
        <v>0</v>
      </c>
      <c r="AG478" s="256"/>
      <c r="AH478" s="482">
        <f t="shared" si="274"/>
        <v>0</v>
      </c>
      <c r="AI478" s="257">
        <f t="shared" si="275"/>
        <v>0</v>
      </c>
      <c r="AJ478" s="258"/>
      <c r="AK478" s="255"/>
      <c r="AL478" s="259">
        <f t="shared" si="272"/>
        <v>0</v>
      </c>
      <c r="AM478" s="260"/>
      <c r="AN478" s="482">
        <f t="shared" si="278"/>
        <v>0</v>
      </c>
      <c r="AO478" s="261">
        <f t="shared" si="27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199"/>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69"/>
        <v>211604.71437909544</v>
      </c>
      <c r="AA479" s="255"/>
      <c r="AB479" s="247"/>
      <c r="AC479" s="254">
        <f t="shared" si="270"/>
        <v>211604.71437909544</v>
      </c>
      <c r="AD479" s="258"/>
      <c r="AE479" s="247"/>
      <c r="AF479" s="254">
        <f t="shared" si="271"/>
        <v>211499.7</v>
      </c>
      <c r="AG479" s="256"/>
      <c r="AH479" s="482">
        <f t="shared" ref="AH479:AH480" si="280">AF479-AC479</f>
        <v>-105.01437909543165</v>
      </c>
      <c r="AI479" s="257">
        <f>IF(AH479=0,0,AH479/AC479)</f>
        <v>-4.9627617892905552E-4</v>
      </c>
      <c r="AJ479" s="258"/>
      <c r="AK479" s="255"/>
      <c r="AL479" s="259">
        <f t="shared" si="272"/>
        <v>195022.25</v>
      </c>
      <c r="AM479" s="260"/>
      <c r="AN479" s="482">
        <f t="shared" si="278"/>
        <v>16477.450000000012</v>
      </c>
      <c r="AO479" s="261">
        <f t="shared" si="279"/>
        <v>8.4490103052344084E-2</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199"/>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0.19060948088182195</v>
      </c>
      <c r="Y480" s="103"/>
      <c r="Z480" s="90">
        <f>SUM(Z468:Z479)</f>
        <v>694043.48086429003</v>
      </c>
      <c r="AA480" s="89">
        <f>AC480/+AC406</f>
        <v>0.19060948088182195</v>
      </c>
      <c r="AB480" s="103"/>
      <c r="AC480" s="90">
        <f>SUM(AC468:AC479)</f>
        <v>694043.48086429003</v>
      </c>
      <c r="AD480" s="89">
        <f>AF480/+AF406</f>
        <v>0.25541082409678589</v>
      </c>
      <c r="AE480" s="103"/>
      <c r="AF480" s="90">
        <f>SUM(AF468:AF479)</f>
        <v>973309.6100000001</v>
      </c>
      <c r="AG480" s="99"/>
      <c r="AH480" s="93">
        <f t="shared" si="280"/>
        <v>279266.12913571007</v>
      </c>
      <c r="AI480" s="89">
        <f>AH480/AC480</f>
        <v>0.4023755525920954</v>
      </c>
      <c r="AJ480" s="109"/>
      <c r="AK480" s="110"/>
      <c r="AL480" s="90">
        <f>SUM(AL468:AL479)</f>
        <v>1164548.26</v>
      </c>
      <c r="AM480" s="111"/>
      <c r="AN480" s="93">
        <f t="shared" ref="AN480:AN482" si="281">AF480-AL480</f>
        <v>-191238.64999999991</v>
      </c>
      <c r="AO480" s="636">
        <f>IF(AL480=0,0,AN480/AL480)</f>
        <v>-0.16421702437647359</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199"/>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81"/>
        <v>0</v>
      </c>
      <c r="AO481" s="486">
        <f t="shared" ref="AO481" si="28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199"/>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2.6545827212748004E-2</v>
      </c>
      <c r="Z482" s="491">
        <f>Z406-Z467+Z480</f>
        <v>469370.29418830469</v>
      </c>
      <c r="AA482" s="489" t="s">
        <v>258</v>
      </c>
      <c r="AB482" s="490">
        <f>AC482/AC405</f>
        <v>2.6545827212748004E-2</v>
      </c>
      <c r="AC482" s="491">
        <f>AC406-AC467+AC480</f>
        <v>469370.29418830469</v>
      </c>
      <c r="AD482" s="489" t="s">
        <v>258</v>
      </c>
      <c r="AE482" s="490">
        <f>AF482/AF405</f>
        <v>3.4852495438992215E-2</v>
      </c>
      <c r="AF482" s="217">
        <f>AF406-AF467+AF480</f>
        <v>1133503.2699999998</v>
      </c>
      <c r="AG482" s="492"/>
      <c r="AH482" s="492">
        <f>AF482-AC482</f>
        <v>664132.9758116951</v>
      </c>
      <c r="AI482" s="546">
        <f>AH482/AC482</f>
        <v>1.4149446269500268</v>
      </c>
      <c r="AJ482" s="493" t="s">
        <v>258</v>
      </c>
      <c r="AK482" s="490">
        <f>IF($AL$405=0,0,AL482/$AL$405)</f>
        <v>1.0679150453228552E-2</v>
      </c>
      <c r="AL482" s="217">
        <f>AL406-AL467+AL480</f>
        <v>316219.25999999954</v>
      </c>
      <c r="AM482" s="218"/>
      <c r="AN482" s="217">
        <f t="shared" si="281"/>
        <v>817284.01000000024</v>
      </c>
      <c r="AO482" s="494">
        <f>IF(AL482=0,0,AN482/AL482)</f>
        <v>2.58454848702132</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199"/>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3">+U484&amp;V484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AAD, Juillet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3"/>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3"/>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3"/>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3"/>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2.6545827212748004E-2</v>
      </c>
      <c r="Z488" s="499">
        <f>Z482</f>
        <v>469370.29418830469</v>
      </c>
      <c r="AA488" s="497" t="s">
        <v>258</v>
      </c>
      <c r="AB488" s="498">
        <f>AC488/AC405</f>
        <v>2.6545827212748004E-2</v>
      </c>
      <c r="AC488" s="499">
        <f>AC482</f>
        <v>469370.29418830469</v>
      </c>
      <c r="AD488" s="497" t="s">
        <v>258</v>
      </c>
      <c r="AE488" s="498">
        <f>AF488/AF405</f>
        <v>3.4852495438992215E-2</v>
      </c>
      <c r="AF488" s="499">
        <f>AF482</f>
        <v>1133503.2699999998</v>
      </c>
      <c r="AG488" s="500"/>
      <c r="AH488" s="492">
        <f>AF488-AC488</f>
        <v>664132.9758116951</v>
      </c>
      <c r="AI488" s="546">
        <f>AH488/AC488</f>
        <v>1.4149446269500268</v>
      </c>
      <c r="AJ488" s="497" t="s">
        <v>258</v>
      </c>
      <c r="AK488" s="498">
        <f>IF($AL$405=0,0,AL488/$AL$405)</f>
        <v>1.0679150453228552E-2</v>
      </c>
      <c r="AL488" s="501">
        <f>AL482</f>
        <v>316219.25999999954</v>
      </c>
      <c r="AM488" s="502"/>
      <c r="AN488" s="503">
        <f>AF488-AL488</f>
        <v>817284.01000000024</v>
      </c>
      <c r="AO488" s="504">
        <f>IF(AL488=0,0,AN488/AL488)</f>
        <v>2.58454848702132</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3"/>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3"/>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original'!$A$8:$A$496=$A490)*('Budget original'!$C$3:$AO$3=Z$2),'Budget original'!$C$8:$AO$496)</f>
        <v>64169</v>
      </c>
      <c r="AA490" s="455"/>
      <c r="AB490" s="461"/>
      <c r="AC490" s="87">
        <f>+SUMPRODUCT(('Budget révisé'!$A$8:$A$496=$A490)*('Budget révisé'!$C$3:$AO$3=AC$2),'Budget révisé'!$C$8:$AO$496)</f>
        <v>64169</v>
      </c>
      <c r="AD490" s="455"/>
      <c r="AE490" s="461"/>
      <c r="AF490" s="87">
        <f>SUMIFS(BV_Data_An_Cour!$P:$P,BV_Data_An_Cour!$V:$V,$V490)</f>
        <v>30996</v>
      </c>
      <c r="AG490" s="455"/>
      <c r="AH490" s="457">
        <f t="shared" ref="AH490:AH491" si="284">AF490-AC490</f>
        <v>-33173</v>
      </c>
      <c r="AI490" s="97">
        <f>IF(AC490=0,0,AH490/AC490)</f>
        <v>-0.51696301952656265</v>
      </c>
      <c r="AJ490" s="455"/>
      <c r="AK490" s="455"/>
      <c r="AL490" s="87">
        <f>SUMIFS(BV_Data_An_Prec!$P:$P,BV_Data_An_Prec!$V:$V,$V490)</f>
        <v>63262</v>
      </c>
      <c r="AM490" s="459"/>
      <c r="AN490" s="457">
        <f t="shared" ref="AN490:AN491" si="285">AF490-AL490</f>
        <v>-32266</v>
      </c>
      <c r="AO490" s="214">
        <f>IF(AL490=0,0,AN490/AL490)</f>
        <v>-0.51003762132085617</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3"/>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original'!$A$8:$A$496=$A491)*('Budget original'!$C$3:$AO$3=Z$2),'Budget original'!$C$8:$AO$496)</f>
        <v>3193.75</v>
      </c>
      <c r="AA491" s="439"/>
      <c r="AB491" s="439"/>
      <c r="AC491" s="87">
        <f>+SUMPRODUCT(('Budget révisé'!$A$8:$A$496=$A491)*('Budget révisé'!$C$3:$AO$3=AC$2),'Budget révisé'!$C$8:$AO$496)</f>
        <v>3193.75</v>
      </c>
      <c r="AD491" s="439"/>
      <c r="AE491" s="178"/>
      <c r="AF491" s="254">
        <f>SUMIFS(BV_Data_An_Cour!$P:$P,BV_Data_An_Cour!$V:$V,$V491)</f>
        <v>-4637.7299999999996</v>
      </c>
      <c r="AG491" s="439"/>
      <c r="AH491" s="457">
        <f t="shared" si="284"/>
        <v>-7831.48</v>
      </c>
      <c r="AI491" s="97">
        <f t="shared" ref="AI491" si="286">IF(AC491=0,0,AH491/AC491)</f>
        <v>-2.4521268101761251</v>
      </c>
      <c r="AJ491" s="439"/>
      <c r="AK491" s="439"/>
      <c r="AL491" s="87">
        <f>SUMIFS(BV_Data_An_Prec!$P:$P,BV_Data_An_Prec!$V:$V,$V491)</f>
        <v>0</v>
      </c>
      <c r="AM491" s="508"/>
      <c r="AN491" s="457">
        <f t="shared" si="285"/>
        <v>-4637.7299999999996</v>
      </c>
      <c r="AO491" s="214">
        <f t="shared" ref="AO491" si="287">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3"/>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original'!$A$8:$A$496=$A492)*('Budget original'!$C$3:$AO$3=Z$2),'Budget original'!$C$8:$AO$496)</f>
        <v>4052.7272968026841</v>
      </c>
      <c r="AA492" s="439"/>
      <c r="AB492" s="439"/>
      <c r="AC492" s="87">
        <f>+SUMPRODUCT(('Budget révisé'!$A$8:$A$496=$A492)*('Budget révisé'!$C$3:$AO$3=AC$2),'Budget révisé'!$C$8:$AO$496)</f>
        <v>4052.7272968026841</v>
      </c>
      <c r="AD492" s="439"/>
      <c r="AE492" s="178"/>
      <c r="AF492" s="87">
        <f>SUMIFS(BV_Data_An_Cour!$P:$P,BV_Data_An_Cour!$V:$V,$V492)</f>
        <v>3994.13</v>
      </c>
      <c r="AG492" s="439"/>
      <c r="AH492" s="457">
        <f t="shared" ref="AH492:AH496" si="288">AF492-AC492</f>
        <v>-58.597296802684014</v>
      </c>
      <c r="AI492" s="97">
        <f t="shared" ref="AI492:AI496" si="289">IF(AC492=0,0,AH492/AC492)</f>
        <v>-1.4458731740700429E-2</v>
      </c>
      <c r="AJ492" s="439"/>
      <c r="AK492" s="439"/>
      <c r="AL492" s="87">
        <f>SUMIFS(BV_Data_An_Prec!$P:$P,BV_Data_An_Prec!$V:$V,$V492)</f>
        <v>31599.31</v>
      </c>
      <c r="AM492" s="508"/>
      <c r="AN492" s="457">
        <f t="shared" ref="AN492:AN496" si="290">AF492-AL492</f>
        <v>-27605.18</v>
      </c>
      <c r="AO492" s="214">
        <f t="shared" ref="AO492:AO496" si="291">IF(AL492=0,0,AN492/AL492)</f>
        <v>-0.87360072102840214</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original'!$A$8:$A$496=$A493)*('Budget original'!$C$3:$AO$3=Z$2),'Budget original'!$C$8:$AO$496)</f>
        <v>0</v>
      </c>
      <c r="AA493" s="439"/>
      <c r="AB493" s="439"/>
      <c r="AC493" s="87">
        <f>+SUMPRODUCT(('Budget révisé'!$A$8:$A$496=$A493)*('Budget révisé'!$C$3:$AO$3=AC$2),'Budget révisé'!$C$8:$AO$496)</f>
        <v>0</v>
      </c>
      <c r="AD493" s="439"/>
      <c r="AE493" s="178"/>
      <c r="AF493" s="87">
        <f>SUMIFS(BV_Data_An_Cour!$P:$P,BV_Data_An_Cour!$V:$V,$V493)</f>
        <v>0</v>
      </c>
      <c r="AG493" s="439"/>
      <c r="AH493" s="457">
        <f t="shared" si="288"/>
        <v>0</v>
      </c>
      <c r="AI493" s="97">
        <f t="shared" si="289"/>
        <v>0</v>
      </c>
      <c r="AJ493" s="439"/>
      <c r="AK493" s="439"/>
      <c r="AL493" s="87">
        <f>SUMIFS(BV_Data_An_Prec!$P:$P,BV_Data_An_Prec!$V:$V,$V493)</f>
        <v>0</v>
      </c>
      <c r="AM493" s="508"/>
      <c r="AN493" s="457">
        <f t="shared" si="290"/>
        <v>0</v>
      </c>
      <c r="AO493" s="214">
        <f t="shared" si="29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original'!$A$8:$A$496=$A494)*('Budget original'!$C$3:$AO$3=Z$2),'Budget original'!$C$8:$AO$496)</f>
        <v>0</v>
      </c>
      <c r="AA494" s="439"/>
      <c r="AB494" s="439"/>
      <c r="AC494" s="87">
        <f>+SUMPRODUCT(('Budget révisé'!$A$8:$A$496=$A494)*('Budget révisé'!$C$3:$AO$3=AC$2),'Budget révisé'!$C$8:$AO$496)</f>
        <v>0</v>
      </c>
      <c r="AD494" s="439"/>
      <c r="AE494" s="178"/>
      <c r="AF494" s="87">
        <f>SUMIFS(BV_Data_An_Cour!$P:$P,BV_Data_An_Cour!$V:$V,$V494)</f>
        <v>0</v>
      </c>
      <c r="AG494" s="439"/>
      <c r="AH494" s="457">
        <f t="shared" si="288"/>
        <v>0</v>
      </c>
      <c r="AI494" s="97">
        <f t="shared" si="289"/>
        <v>0</v>
      </c>
      <c r="AJ494" s="439"/>
      <c r="AK494" s="439"/>
      <c r="AL494" s="87">
        <f>SUMIFS(BV_Data_An_Prec!$P:$P,BV_Data_An_Prec!$V:$V,$V494)</f>
        <v>0</v>
      </c>
      <c r="AM494" s="508"/>
      <c r="AN494" s="457">
        <f t="shared" si="290"/>
        <v>0</v>
      </c>
      <c r="AO494" s="214">
        <f t="shared" si="29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original'!$A$8:$A$496=$A495)*('Budget original'!$C$3:$AO$3=Z$2),'Budget original'!$C$8:$AO$496)</f>
        <v>0</v>
      </c>
      <c r="AA495" s="439"/>
      <c r="AB495" s="439"/>
      <c r="AC495" s="87">
        <f>+SUMPRODUCT(('Budget révisé'!$A$8:$A$496=$A495)*('Budget révisé'!$C$3:$AO$3=AC$2),'Budget révisé'!$C$8:$AO$496)</f>
        <v>0</v>
      </c>
      <c r="AD495" s="439"/>
      <c r="AE495" s="178"/>
      <c r="AF495" s="87">
        <f>SUMIFS(BV_Data_An_Cour!$P:$P,BV_Data_An_Cour!$V:$V,$V495)</f>
        <v>0</v>
      </c>
      <c r="AG495" s="439"/>
      <c r="AH495" s="457">
        <f t="shared" si="288"/>
        <v>0</v>
      </c>
      <c r="AI495" s="97">
        <f t="shared" si="289"/>
        <v>0</v>
      </c>
      <c r="AJ495" s="439"/>
      <c r="AK495" s="439"/>
      <c r="AL495" s="87">
        <f>SUMIFS(BV_Data_An_Prec!$P:$P,BV_Data_An_Prec!$V:$V,$V495)</f>
        <v>0</v>
      </c>
      <c r="AM495" s="508"/>
      <c r="AN495" s="457">
        <f t="shared" si="290"/>
        <v>0</v>
      </c>
      <c r="AO495" s="214">
        <f t="shared" si="29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3"/>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+SUMPRODUCT(('Budget révisé'!$A$8:$A$496=$A496)*('Budget révisé'!$C$3:$AO$3=AC$2),'Budget révisé'!$C$8:$AO$496)</f>
        <v>0</v>
      </c>
      <c r="AD496" s="439"/>
      <c r="AE496" s="178"/>
      <c r="AF496" s="87">
        <f>SUMIFS(BV_Data_An_Cour!$P:$P,BV_Data_An_Cour!$V:$V,$V496)</f>
        <v>0</v>
      </c>
      <c r="AG496" s="439"/>
      <c r="AH496" s="457">
        <f t="shared" si="288"/>
        <v>0</v>
      </c>
      <c r="AI496" s="97">
        <f t="shared" si="289"/>
        <v>0</v>
      </c>
      <c r="AJ496" s="439"/>
      <c r="AK496" s="439"/>
      <c r="AL496" s="87">
        <f>SUMIFS(BV_Data_An_Prec!$P:$P,BV_Data_An_Prec!$V:$V,$V496)</f>
        <v>0</v>
      </c>
      <c r="AM496" s="508"/>
      <c r="AN496" s="457">
        <f t="shared" si="290"/>
        <v>0</v>
      </c>
      <c r="AO496" s="214">
        <f t="shared" si="29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3"/>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2.2506835090514783E-2</v>
      </c>
      <c r="Z497" s="491">
        <f>Z488-Z490-Z491-Z492-Z496</f>
        <v>397954.81689150201</v>
      </c>
      <c r="AA497" s="489" t="s">
        <v>258</v>
      </c>
      <c r="AB497" s="490">
        <f>AC497/AC405</f>
        <v>2.2506835090514783E-2</v>
      </c>
      <c r="AC497" s="491">
        <f>AC488-AC490-AC491-AC492-AC496</f>
        <v>397954.81689150201</v>
      </c>
      <c r="AD497" s="489" t="s">
        <v>258</v>
      </c>
      <c r="AE497" s="490">
        <f>AF497/AF405</f>
        <v>3.3919232244645665E-2</v>
      </c>
      <c r="AF497" s="217">
        <f>AF488-AF490-AF491-AF492-AF496</f>
        <v>1103150.8699999999</v>
      </c>
      <c r="AG497" s="492"/>
      <c r="AH497" s="492">
        <f>AF497-AC497</f>
        <v>705196.05310849787</v>
      </c>
      <c r="AI497" s="546">
        <f>AH497/AC497</f>
        <v>1.77205055241425</v>
      </c>
      <c r="AJ497" s="493" t="s">
        <v>258</v>
      </c>
      <c r="AK497" s="490">
        <f>IF($AL$405=0,0,AL497/$AL$405)</f>
        <v>7.4755562076397305E-3</v>
      </c>
      <c r="AL497" s="217">
        <f>AL488-AL490-AL491-AL492-AL496</f>
        <v>221357.94999999955</v>
      </c>
      <c r="AM497" s="218"/>
      <c r="AN497" s="217">
        <f>AF497-AL497</f>
        <v>881792.92000000039</v>
      </c>
      <c r="AO497" s="509">
        <f>IF(AL497=0,0,AN497/AL497)</f>
        <v>3.9835611054403159</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2">+U498&amp;V498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v>397955</v>
      </c>
      <c r="AA499" s="79"/>
      <c r="AB499" s="79"/>
      <c r="AC499" s="79">
        <v>337416</v>
      </c>
      <c r="AD499" s="79"/>
      <c r="AE499" s="79"/>
      <c r="AF499" s="126">
        <v>1103150.8700000001</v>
      </c>
      <c r="AG499" s="79"/>
      <c r="AH499" s="79"/>
      <c r="AI499" s="79"/>
      <c r="AJ499" s="79"/>
      <c r="AK499" s="79"/>
      <c r="AL499" s="79">
        <v>221357.95</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32">
        <f>+Z497-Z499</f>
        <v>-0.18310849799308926</v>
      </c>
      <c r="AA500" s="79"/>
      <c r="AB500" s="79"/>
      <c r="AC500" s="1032">
        <f>+AC497-AC499</f>
        <v>60538.816891502007</v>
      </c>
      <c r="AD500" s="79"/>
      <c r="AE500" s="79"/>
      <c r="AF500" s="1032">
        <f>+AF497-AF499</f>
        <v>0</v>
      </c>
      <c r="AG500" s="79"/>
      <c r="AH500" s="79"/>
      <c r="AI500" s="79"/>
      <c r="AJ500" s="79"/>
      <c r="AK500" s="79"/>
      <c r="AL500" s="1032">
        <f>+AL497-AL499</f>
        <v>-4.6566128730773926E-10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D357:F357"/>
    <mergeCell ref="R357:S357"/>
    <mergeCell ref="O357:Q357"/>
    <mergeCell ref="M357:N357"/>
    <mergeCell ref="J357:L357"/>
    <mergeCell ref="G357:I357"/>
    <mergeCell ref="R3:S3"/>
    <mergeCell ref="D3:F3"/>
    <mergeCell ref="G3:I3"/>
    <mergeCell ref="J3:L3"/>
    <mergeCell ref="M3:N3"/>
    <mergeCell ref="O3:Q3"/>
    <mergeCell ref="R169:S169"/>
    <mergeCell ref="D91:F91"/>
    <mergeCell ref="G91:I91"/>
    <mergeCell ref="J91:L91"/>
    <mergeCell ref="M91:N91"/>
    <mergeCell ref="O91:Q91"/>
    <mergeCell ref="R91:S91"/>
    <mergeCell ref="D169:F169"/>
    <mergeCell ref="G169:I169"/>
    <mergeCell ref="J169:L169"/>
    <mergeCell ref="M169:N169"/>
    <mergeCell ref="O169:Q169"/>
    <mergeCell ref="R292:S292"/>
    <mergeCell ref="D237:F237"/>
    <mergeCell ref="G237:I237"/>
    <mergeCell ref="J237:L237"/>
    <mergeCell ref="M237:N237"/>
    <mergeCell ref="O237:Q237"/>
    <mergeCell ref="R237:S237"/>
    <mergeCell ref="D292:F292"/>
    <mergeCell ref="G292:I292"/>
    <mergeCell ref="J292:L292"/>
    <mergeCell ref="M292:N292"/>
    <mergeCell ref="O292:Q292"/>
    <mergeCell ref="AM403:AO403"/>
    <mergeCell ref="X403:Z403"/>
    <mergeCell ref="AA403:AC403"/>
    <mergeCell ref="AD403:AF403"/>
    <mergeCell ref="AG403:AI403"/>
    <mergeCell ref="AJ403:AL403"/>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3" priority="340" stopIfTrue="1">
      <formula>"esterreur(reference)"</formula>
    </cfRule>
  </conditionalFormatting>
  <conditionalFormatting sqref="M95:M96">
    <cfRule type="expression" dxfId="342" priority="341" stopIfTrue="1">
      <formula>"esterreur(reference)"</formula>
    </cfRule>
  </conditionalFormatting>
  <conditionalFormatting sqref="H275:H280 J275:K280">
    <cfRule type="expression" dxfId="341" priority="342" stopIfTrue="1">
      <formula>"esterreur(reference)"</formula>
    </cfRule>
  </conditionalFormatting>
  <conditionalFormatting sqref="H219:H224 J219:K224">
    <cfRule type="expression" dxfId="340" priority="343" stopIfTrue="1">
      <formula>"esterreur(reference)"</formula>
    </cfRule>
  </conditionalFormatting>
  <conditionalFormatting sqref="H141:H147 J141:K147">
    <cfRule type="expression" dxfId="339" priority="344" stopIfTrue="1">
      <formula>"esterreur(reference)"</formula>
    </cfRule>
  </conditionalFormatting>
  <conditionalFormatting sqref="H137:H139 J137:K139">
    <cfRule type="expression" dxfId="338" priority="345" stopIfTrue="1">
      <formula>"esterreur(reference)"</formula>
    </cfRule>
  </conditionalFormatting>
  <conditionalFormatting sqref="H140 J140:K140">
    <cfRule type="expression" dxfId="337" priority="346" stopIfTrue="1">
      <formula>"esterreur(reference)"</formula>
    </cfRule>
  </conditionalFormatting>
  <conditionalFormatting sqref="L82">
    <cfRule type="expression" dxfId="336" priority="320" stopIfTrue="1">
      <formula>"esterreur(reference)"</formula>
    </cfRule>
  </conditionalFormatting>
  <conditionalFormatting sqref="M311">
    <cfRule type="expression" dxfId="335" priority="347" stopIfTrue="1">
      <formula>"esterreur(reference)"</formula>
    </cfRule>
  </conditionalFormatting>
  <conditionalFormatting sqref="R311">
    <cfRule type="expression" dxfId="334" priority="348" stopIfTrue="1">
      <formula>"esterreur(reference)"</formula>
    </cfRule>
  </conditionalFormatting>
  <conditionalFormatting sqref="AG408:AI413 AH490:AI490 AG431:AI431 AH465:AI467 AH452:AI459 AH419:AI430 AH432:AI450 AH460:AH464 AI491:AI496">
    <cfRule type="cellIs" dxfId="333" priority="349" operator="greaterThan">
      <formula>0</formula>
    </cfRule>
  </conditionalFormatting>
  <conditionalFormatting sqref="AH468:AI479">
    <cfRule type="cellIs" dxfId="332" priority="350" operator="lessThan">
      <formula>0</formula>
    </cfRule>
  </conditionalFormatting>
  <conditionalFormatting sqref="AH491:AH496">
    <cfRule type="cellIs" dxfId="331" priority="351" operator="greaterThan">
      <formula>0</formula>
    </cfRule>
  </conditionalFormatting>
  <conditionalFormatting sqref="J281:K283">
    <cfRule type="expression" dxfId="330" priority="352" stopIfTrue="1">
      <formula>"esterreur(reference)"</formula>
    </cfRule>
  </conditionalFormatting>
  <conditionalFormatting sqref="H316:L316">
    <cfRule type="expression" dxfId="329" priority="359" stopIfTrue="1">
      <formula>"esterreur(reference)"</formula>
    </cfRule>
  </conditionalFormatting>
  <conditionalFormatting sqref="H196:L196">
    <cfRule type="expression" dxfId="328" priority="360" stopIfTrue="1">
      <formula>"esterreur(reference)"</formula>
    </cfRule>
  </conditionalFormatting>
  <conditionalFormatting sqref="H55:H56 J55:K56 H71 J71:K71">
    <cfRule type="expression" dxfId="327" priority="361" stopIfTrue="1">
      <formula>"esterreur(reference)"</formula>
    </cfRule>
  </conditionalFormatting>
  <conditionalFormatting sqref="J61:K70 H61:H70">
    <cfRule type="expression" dxfId="326" priority="362" stopIfTrue="1">
      <formula>"esterreur(reference)"</formula>
    </cfRule>
  </conditionalFormatting>
  <conditionalFormatting sqref="H57:H59 J57:K59">
    <cfRule type="expression" dxfId="325" priority="363" stopIfTrue="1">
      <formula>"esterreur(reference)"</formula>
    </cfRule>
  </conditionalFormatting>
  <conditionalFormatting sqref="H60 J60:K60">
    <cfRule type="expression" dxfId="324" priority="364" stopIfTrue="1">
      <formula>"esterreur(reference)"</formula>
    </cfRule>
  </conditionalFormatting>
  <conditionalFormatting sqref="L19 L21:L23">
    <cfRule type="expression" dxfId="323" priority="338" stopIfTrue="1">
      <formula>"esterreur(reference)"</formula>
    </cfRule>
  </conditionalFormatting>
  <conditionalFormatting sqref="K98">
    <cfRule type="expression" dxfId="322" priority="365" stopIfTrue="1">
      <formula>"esterreur(reference)"</formula>
    </cfRule>
  </conditionalFormatting>
  <conditionalFormatting sqref="L331:L347">
    <cfRule type="expression" dxfId="321" priority="233" stopIfTrue="1">
      <formula>"esterreur(reference)"</formula>
    </cfRule>
  </conditionalFormatting>
  <conditionalFormatting sqref="L16:L17">
    <cfRule type="expression" dxfId="320" priority="339" stopIfTrue="1">
      <formula>"esterreur(reference)"</formula>
    </cfRule>
  </conditionalFormatting>
  <conditionalFormatting sqref="L20">
    <cfRule type="expression" dxfId="319" priority="337" stopIfTrue="1">
      <formula>"esterreur(reference)"</formula>
    </cfRule>
  </conditionalFormatting>
  <conditionalFormatting sqref="L325">
    <cfRule type="expression" dxfId="318" priority="237" stopIfTrue="1">
      <formula>"esterreur(reference)"</formula>
    </cfRule>
  </conditionalFormatting>
  <conditionalFormatting sqref="L326">
    <cfRule type="expression" dxfId="317" priority="236" stopIfTrue="1">
      <formula>"esterreur(reference)"</formula>
    </cfRule>
  </conditionalFormatting>
  <conditionalFormatting sqref="L327">
    <cfRule type="expression" dxfId="316" priority="235" stopIfTrue="1">
      <formula>"esterreur(reference)"</formula>
    </cfRule>
  </conditionalFormatting>
  <conditionalFormatting sqref="L328">
    <cfRule type="expression" dxfId="315" priority="234" stopIfTrue="1">
      <formula>"esterreur(reference)"</formula>
    </cfRule>
  </conditionalFormatting>
  <conditionalFormatting sqref="L42">
    <cfRule type="expression" dxfId="314" priority="336" stopIfTrue="1">
      <formula>"esterreur(reference)"</formula>
    </cfRule>
  </conditionalFormatting>
  <conditionalFormatting sqref="L43">
    <cfRule type="expression" dxfId="313" priority="335" stopIfTrue="1">
      <formula>"esterreur(reference)"</formula>
    </cfRule>
  </conditionalFormatting>
  <conditionalFormatting sqref="L44">
    <cfRule type="expression" dxfId="312" priority="334" stopIfTrue="1">
      <formula>"esterreur(reference)"</formula>
    </cfRule>
  </conditionalFormatting>
  <conditionalFormatting sqref="L45:L48">
    <cfRule type="expression" dxfId="311" priority="333" stopIfTrue="1">
      <formula>"esterreur(reference)"</formula>
    </cfRule>
  </conditionalFormatting>
  <conditionalFormatting sqref="L55">
    <cfRule type="expression" dxfId="310" priority="332" stopIfTrue="1">
      <formula>"esterreur(reference)"</formula>
    </cfRule>
  </conditionalFormatting>
  <conditionalFormatting sqref="L56">
    <cfRule type="expression" dxfId="309" priority="331" stopIfTrue="1">
      <formula>"esterreur(reference)"</formula>
    </cfRule>
  </conditionalFormatting>
  <conditionalFormatting sqref="L271">
    <cfRule type="expression" dxfId="308" priority="248" stopIfTrue="1">
      <formula>"esterreur(reference)"</formula>
    </cfRule>
  </conditionalFormatting>
  <conditionalFormatting sqref="L58">
    <cfRule type="expression" dxfId="307" priority="330" stopIfTrue="1">
      <formula>"esterreur(reference)"</formula>
    </cfRule>
  </conditionalFormatting>
  <conditionalFormatting sqref="L61">
    <cfRule type="expression" dxfId="306" priority="329" stopIfTrue="1">
      <formula>"esterreur(reference)"</formula>
    </cfRule>
  </conditionalFormatting>
  <conditionalFormatting sqref="L274">
    <cfRule type="expression" dxfId="305" priority="246" stopIfTrue="1">
      <formula>"esterreur(reference)"</formula>
    </cfRule>
  </conditionalFormatting>
  <conditionalFormatting sqref="L63">
    <cfRule type="expression" dxfId="304" priority="328" stopIfTrue="1">
      <formula>"esterreur(reference)"</formula>
    </cfRule>
  </conditionalFormatting>
  <conditionalFormatting sqref="L62">
    <cfRule type="expression" dxfId="303" priority="327" stopIfTrue="1">
      <formula>"esterreur(reference)"</formula>
    </cfRule>
  </conditionalFormatting>
  <conditionalFormatting sqref="L64">
    <cfRule type="expression" dxfId="302" priority="326" stopIfTrue="1">
      <formula>"esterreur(reference)"</formula>
    </cfRule>
  </conditionalFormatting>
  <conditionalFormatting sqref="L65">
    <cfRule type="expression" dxfId="301" priority="325" stopIfTrue="1">
      <formula>"esterreur(reference)"</formula>
    </cfRule>
  </conditionalFormatting>
  <conditionalFormatting sqref="L69 L66:L67">
    <cfRule type="expression" dxfId="300" priority="324" stopIfTrue="1">
      <formula>"esterreur(reference)"</formula>
    </cfRule>
  </conditionalFormatting>
  <conditionalFormatting sqref="L70">
    <cfRule type="expression" dxfId="299" priority="323" stopIfTrue="1">
      <formula>"esterreur(reference)"</formula>
    </cfRule>
  </conditionalFormatting>
  <conditionalFormatting sqref="L76:L77">
    <cfRule type="expression" dxfId="298" priority="322" stopIfTrue="1">
      <formula>"esterreur(reference)"</formula>
    </cfRule>
  </conditionalFormatting>
  <conditionalFormatting sqref="L78:L81">
    <cfRule type="expression" dxfId="297" priority="321" stopIfTrue="1">
      <formula>"esterreur(reference)"</formula>
    </cfRule>
  </conditionalFormatting>
  <conditionalFormatting sqref="L57">
    <cfRule type="expression" dxfId="296" priority="319" stopIfTrue="1">
      <formula>"esterreur(reference)"</formula>
    </cfRule>
  </conditionalFormatting>
  <conditionalFormatting sqref="L94:L95">
    <cfRule type="expression" dxfId="295" priority="318" stopIfTrue="1">
      <formula>"esterreur(reference)"</formula>
    </cfRule>
  </conditionalFormatting>
  <conditionalFormatting sqref="L98">
    <cfRule type="expression" dxfId="294" priority="317" stopIfTrue="1">
      <formula>"esterreur(reference)"</formula>
    </cfRule>
  </conditionalFormatting>
  <conditionalFormatting sqref="L99">
    <cfRule type="expression" dxfId="293" priority="316" stopIfTrue="1">
      <formula>"esterreur(reference)"</formula>
    </cfRule>
  </conditionalFormatting>
  <conditionalFormatting sqref="L101">
    <cfRule type="expression" dxfId="292" priority="315" stopIfTrue="1">
      <formula>"esterreur(reference)"</formula>
    </cfRule>
  </conditionalFormatting>
  <conditionalFormatting sqref="L102">
    <cfRule type="expression" dxfId="291" priority="314" stopIfTrue="1">
      <formula>"esterreur(reference)"</formula>
    </cfRule>
  </conditionalFormatting>
  <conditionalFormatting sqref="L103">
    <cfRule type="expression" dxfId="290" priority="313" stopIfTrue="1">
      <formula>"esterreur(reference)"</formula>
    </cfRule>
  </conditionalFormatting>
  <conditionalFormatting sqref="L111">
    <cfRule type="expression" dxfId="289" priority="312" stopIfTrue="1">
      <formula>"esterreur(reference)"</formula>
    </cfRule>
  </conditionalFormatting>
  <conditionalFormatting sqref="L112">
    <cfRule type="expression" dxfId="288" priority="311" stopIfTrue="1">
      <formula>"esterreur(reference)"</formula>
    </cfRule>
  </conditionalFormatting>
  <conditionalFormatting sqref="L207">
    <cfRule type="expression" dxfId="287" priority="271" stopIfTrue="1">
      <formula>"esterreur(reference)"</formula>
    </cfRule>
  </conditionalFormatting>
  <conditionalFormatting sqref="L114">
    <cfRule type="expression" dxfId="286" priority="310" stopIfTrue="1">
      <formula>"esterreur(reference)"</formula>
    </cfRule>
  </conditionalFormatting>
  <conditionalFormatting sqref="L227">
    <cfRule type="expression" dxfId="285" priority="267" stopIfTrue="1">
      <formula>"esterreur(reference)"</formula>
    </cfRule>
  </conditionalFormatting>
  <conditionalFormatting sqref="L116:L119">
    <cfRule type="expression" dxfId="284" priority="309" stopIfTrue="1">
      <formula>"esterreur(reference)"</formula>
    </cfRule>
  </conditionalFormatting>
  <conditionalFormatting sqref="L120">
    <cfRule type="expression" dxfId="283" priority="308" stopIfTrue="1">
      <formula>"esterreur(reference)"</formula>
    </cfRule>
  </conditionalFormatting>
  <conditionalFormatting sqref="L130">
    <cfRule type="expression" dxfId="282" priority="305" stopIfTrue="1">
      <formula>"esterreur(reference)"</formula>
    </cfRule>
  </conditionalFormatting>
  <conditionalFormatting sqref="L124">
    <cfRule type="expression" dxfId="281" priority="307" stopIfTrue="1">
      <formula>"esterreur(reference)"</formula>
    </cfRule>
  </conditionalFormatting>
  <conditionalFormatting sqref="L123">
    <cfRule type="expression" dxfId="280" priority="306" stopIfTrue="1">
      <formula>"esterreur(reference)"</formula>
    </cfRule>
  </conditionalFormatting>
  <conditionalFormatting sqref="L138">
    <cfRule type="expression" dxfId="279" priority="299" stopIfTrue="1">
      <formula>"esterreur(reference)"</formula>
    </cfRule>
  </conditionalFormatting>
  <conditionalFormatting sqref="L131">
    <cfRule type="expression" dxfId="278" priority="304" stopIfTrue="1">
      <formula>"esterreur(reference)"</formula>
    </cfRule>
  </conditionalFormatting>
  <conditionalFormatting sqref="L132">
    <cfRule type="expression" dxfId="277" priority="303" stopIfTrue="1">
      <formula>"esterreur(reference)"</formula>
    </cfRule>
  </conditionalFormatting>
  <conditionalFormatting sqref="L133">
    <cfRule type="expression" dxfId="276" priority="302" stopIfTrue="1">
      <formula>"esterreur(reference)"</formula>
    </cfRule>
  </conditionalFormatting>
  <conditionalFormatting sqref="L139">
    <cfRule type="expression" dxfId="275" priority="298" stopIfTrue="1">
      <formula>"esterreur(reference)"</formula>
    </cfRule>
  </conditionalFormatting>
  <conditionalFormatting sqref="L136">
    <cfRule type="expression" dxfId="274" priority="301" stopIfTrue="1">
      <formula>"esterreur(reference)"</formula>
    </cfRule>
  </conditionalFormatting>
  <conditionalFormatting sqref="L137">
    <cfRule type="expression" dxfId="273" priority="300" stopIfTrue="1">
      <formula>"esterreur(reference)"</formula>
    </cfRule>
  </conditionalFormatting>
  <conditionalFormatting sqref="L140">
    <cfRule type="expression" dxfId="272" priority="297" stopIfTrue="1">
      <formula>"esterreur(reference)"</formula>
    </cfRule>
  </conditionalFormatting>
  <conditionalFormatting sqref="L141">
    <cfRule type="expression" dxfId="271" priority="296" stopIfTrue="1">
      <formula>"esterreur(reference)"</formula>
    </cfRule>
  </conditionalFormatting>
  <conditionalFormatting sqref="L142">
    <cfRule type="expression" dxfId="270" priority="295" stopIfTrue="1">
      <formula>"esterreur(reference)"</formula>
    </cfRule>
  </conditionalFormatting>
  <conditionalFormatting sqref="L143">
    <cfRule type="expression" dxfId="269" priority="294" stopIfTrue="1">
      <formula>"esterreur(reference)"</formula>
    </cfRule>
  </conditionalFormatting>
  <conditionalFormatting sqref="L144">
    <cfRule type="expression" dxfId="268" priority="293" stopIfTrue="1">
      <formula>"esterreur(reference)"</formula>
    </cfRule>
  </conditionalFormatting>
  <conditionalFormatting sqref="L145">
    <cfRule type="expression" dxfId="267" priority="292" stopIfTrue="1">
      <formula>"esterreur(reference)"</formula>
    </cfRule>
  </conditionalFormatting>
  <conditionalFormatting sqref="L146">
    <cfRule type="expression" dxfId="266" priority="291" stopIfTrue="1">
      <formula>"esterreur(reference)"</formula>
    </cfRule>
  </conditionalFormatting>
  <conditionalFormatting sqref="L147">
    <cfRule type="expression" dxfId="265" priority="290" stopIfTrue="1">
      <formula>"esterreur(reference)"</formula>
    </cfRule>
  </conditionalFormatting>
  <conditionalFormatting sqref="L155">
    <cfRule type="expression" dxfId="264" priority="289" stopIfTrue="1">
      <formula>"esterreur(reference)"</formula>
    </cfRule>
  </conditionalFormatting>
  <conditionalFormatting sqref="L157">
    <cfRule type="expression" dxfId="263" priority="287" stopIfTrue="1">
      <formula>"esterreur(reference)"</formula>
    </cfRule>
  </conditionalFormatting>
  <conditionalFormatting sqref="L156">
    <cfRule type="expression" dxfId="262" priority="288" stopIfTrue="1">
      <formula>"esterreur(reference)"</formula>
    </cfRule>
  </conditionalFormatting>
  <conditionalFormatting sqref="L115">
    <cfRule type="expression" dxfId="261" priority="286" stopIfTrue="1">
      <formula>"esterreur(reference)"</formula>
    </cfRule>
  </conditionalFormatting>
  <conditionalFormatting sqref="L113">
    <cfRule type="expression" dxfId="260" priority="285" stopIfTrue="1">
      <formula>"esterreur(reference)"</formula>
    </cfRule>
  </conditionalFormatting>
  <conditionalFormatting sqref="L171">
    <cfRule type="expression" dxfId="259" priority="284" stopIfTrue="1">
      <formula>"esterreur(reference)"</formula>
    </cfRule>
  </conditionalFormatting>
  <conditionalFormatting sqref="L174">
    <cfRule type="expression" dxfId="258" priority="283" stopIfTrue="1">
      <formula>"esterreur(reference)"</formula>
    </cfRule>
  </conditionalFormatting>
  <conditionalFormatting sqref="L177">
    <cfRule type="expression" dxfId="257" priority="282" stopIfTrue="1">
      <formula>"esterreur(reference)"</formula>
    </cfRule>
  </conditionalFormatting>
  <conditionalFormatting sqref="L187">
    <cfRule type="expression" dxfId="256" priority="280" stopIfTrue="1">
      <formula>"esterreur(reference)"</formula>
    </cfRule>
  </conditionalFormatting>
  <conditionalFormatting sqref="L197">
    <cfRule type="expression" dxfId="255" priority="279" stopIfTrue="1">
      <formula>"esterreur(reference)"</formula>
    </cfRule>
  </conditionalFormatting>
  <conditionalFormatting sqref="L199">
    <cfRule type="expression" dxfId="254" priority="278" stopIfTrue="1">
      <formula>"esterreur(reference)"</formula>
    </cfRule>
  </conditionalFormatting>
  <conditionalFormatting sqref="L198">
    <cfRule type="expression" dxfId="253" priority="277" stopIfTrue="1">
      <formula>"esterreur(reference)"</formula>
    </cfRule>
  </conditionalFormatting>
  <conditionalFormatting sqref="L200">
    <cfRule type="expression" dxfId="252" priority="276" stopIfTrue="1">
      <formula>"esterreur(reference)"</formula>
    </cfRule>
  </conditionalFormatting>
  <conditionalFormatting sqref="L201">
    <cfRule type="expression" dxfId="251" priority="275" stopIfTrue="1">
      <formula>"esterreur(reference)"</formula>
    </cfRule>
  </conditionalFormatting>
  <conditionalFormatting sqref="L202:L204">
    <cfRule type="expression" dxfId="250" priority="274" stopIfTrue="1">
      <formula>"esterreur(reference)"</formula>
    </cfRule>
  </conditionalFormatting>
  <conditionalFormatting sqref="L206">
    <cfRule type="expression" dxfId="249" priority="272" stopIfTrue="1">
      <formula>"esterreur(reference)"</formula>
    </cfRule>
  </conditionalFormatting>
  <conditionalFormatting sqref="L205">
    <cfRule type="expression" dxfId="248" priority="273" stopIfTrue="1">
      <formula>"esterreur(reference)"</formula>
    </cfRule>
  </conditionalFormatting>
  <conditionalFormatting sqref="L208">
    <cfRule type="expression" dxfId="247" priority="270" stopIfTrue="1">
      <formula>"esterreur(reference)"</formula>
    </cfRule>
  </conditionalFormatting>
  <conditionalFormatting sqref="L211:L224">
    <cfRule type="expression" dxfId="246" priority="269" stopIfTrue="1">
      <formula>"esterreur(reference)"</formula>
    </cfRule>
  </conditionalFormatting>
  <conditionalFormatting sqref="L225:L226">
    <cfRule type="expression" dxfId="245" priority="268" stopIfTrue="1">
      <formula>"esterreur(reference)"</formula>
    </cfRule>
  </conditionalFormatting>
  <conditionalFormatting sqref="L180">
    <cfRule type="expression" dxfId="244" priority="266" stopIfTrue="1">
      <formula>"esterreur(reference)"</formula>
    </cfRule>
  </conditionalFormatting>
  <conditionalFormatting sqref="L243">
    <cfRule type="expression" dxfId="243" priority="265" stopIfTrue="1">
      <formula>"esterreur(reference)"</formula>
    </cfRule>
  </conditionalFormatting>
  <conditionalFormatting sqref="L246">
    <cfRule type="expression" dxfId="242" priority="264" stopIfTrue="1">
      <formula>"esterreur(reference)"</formula>
    </cfRule>
  </conditionalFormatting>
  <conditionalFormatting sqref="L253">
    <cfRule type="expression" dxfId="241" priority="263" stopIfTrue="1">
      <formula>"esterreur(reference)"</formula>
    </cfRule>
  </conditionalFormatting>
  <conditionalFormatting sqref="L254">
    <cfRule type="expression" dxfId="240" priority="262" stopIfTrue="1">
      <formula>"esterreur(reference)"</formula>
    </cfRule>
  </conditionalFormatting>
  <conditionalFormatting sqref="L255">
    <cfRule type="expression" dxfId="239" priority="261" stopIfTrue="1">
      <formula>"esterreur(reference)"</formula>
    </cfRule>
  </conditionalFormatting>
  <conditionalFormatting sqref="L256">
    <cfRule type="expression" dxfId="238" priority="260" stopIfTrue="1">
      <formula>"esterreur(reference)"</formula>
    </cfRule>
  </conditionalFormatting>
  <conditionalFormatting sqref="L257">
    <cfRule type="expression" dxfId="237" priority="259" stopIfTrue="1">
      <formula>"esterreur(reference)"</formula>
    </cfRule>
  </conditionalFormatting>
  <conditionalFormatting sqref="L258">
    <cfRule type="expression" dxfId="236" priority="258" stopIfTrue="1">
      <formula>"esterreur(reference)"</formula>
    </cfRule>
  </conditionalFormatting>
  <conditionalFormatting sqref="L259">
    <cfRule type="expression" dxfId="235" priority="257" stopIfTrue="1">
      <formula>"esterreur(reference)"</formula>
    </cfRule>
  </conditionalFormatting>
  <conditionalFormatting sqref="L260">
    <cfRule type="expression" dxfId="234" priority="256" stopIfTrue="1">
      <formula>"esterreur(reference)"</formula>
    </cfRule>
  </conditionalFormatting>
  <conditionalFormatting sqref="L261">
    <cfRule type="expression" dxfId="233" priority="255" stopIfTrue="1">
      <formula>"esterreur(reference)"</formula>
    </cfRule>
  </conditionalFormatting>
  <conditionalFormatting sqref="L262">
    <cfRule type="expression" dxfId="232" priority="254" stopIfTrue="1">
      <formula>"esterreur(reference)"</formula>
    </cfRule>
  </conditionalFormatting>
  <conditionalFormatting sqref="L263:L264">
    <cfRule type="expression" dxfId="231" priority="253" stopIfTrue="1">
      <formula>"esterreur(reference)"</formula>
    </cfRule>
  </conditionalFormatting>
  <conditionalFormatting sqref="L268">
    <cfRule type="expression" dxfId="230" priority="251" stopIfTrue="1">
      <formula>"esterreur(reference)"</formula>
    </cfRule>
  </conditionalFormatting>
  <conditionalFormatting sqref="L267">
    <cfRule type="expression" dxfId="229" priority="252" stopIfTrue="1">
      <formula>"esterreur(reference)"</formula>
    </cfRule>
  </conditionalFormatting>
  <conditionalFormatting sqref="L269">
    <cfRule type="expression" dxfId="228" priority="250" stopIfTrue="1">
      <formula>"esterreur(reference)"</formula>
    </cfRule>
  </conditionalFormatting>
  <conditionalFormatting sqref="L270">
    <cfRule type="expression" dxfId="227" priority="249" stopIfTrue="1">
      <formula>"esterreur(reference)"</formula>
    </cfRule>
  </conditionalFormatting>
  <conditionalFormatting sqref="L272:L273">
    <cfRule type="expression" dxfId="226" priority="247" stopIfTrue="1">
      <formula>"esterreur(reference)"</formula>
    </cfRule>
  </conditionalFormatting>
  <conditionalFormatting sqref="L294:L300">
    <cfRule type="expression" dxfId="225" priority="245" stopIfTrue="1">
      <formula>"esterreur(reference)"</formula>
    </cfRule>
  </conditionalFormatting>
  <conditionalFormatting sqref="L301">
    <cfRule type="expression" dxfId="224" priority="244" stopIfTrue="1">
      <formula>"esterreur(reference)"</formula>
    </cfRule>
  </conditionalFormatting>
  <conditionalFormatting sqref="L302">
    <cfRule type="expression" dxfId="223" priority="243" stopIfTrue="1">
      <formula>"esterreur(reference)"</formula>
    </cfRule>
  </conditionalFormatting>
  <conditionalFormatting sqref="L306">
    <cfRule type="expression" dxfId="222" priority="242" stopIfTrue="1">
      <formula>"esterreur(reference)"</formula>
    </cfRule>
  </conditionalFormatting>
  <conditionalFormatting sqref="L307">
    <cfRule type="expression" dxfId="221" priority="241" stopIfTrue="1">
      <formula>"esterreur(reference)"</formula>
    </cfRule>
  </conditionalFormatting>
  <conditionalFormatting sqref="L311">
    <cfRule type="expression" dxfId="220" priority="240" stopIfTrue="1">
      <formula>"esterreur(reference)"</formula>
    </cfRule>
  </conditionalFormatting>
  <conditionalFormatting sqref="L317">
    <cfRule type="expression" dxfId="219" priority="239" stopIfTrue="1">
      <formula>"esterreur(reference)"</formula>
    </cfRule>
  </conditionalFormatting>
  <conditionalFormatting sqref="L318">
    <cfRule type="expression" dxfId="218" priority="238" stopIfTrue="1">
      <formula>"esterreur(reference)"</formula>
    </cfRule>
  </conditionalFormatting>
  <conditionalFormatting sqref="K5">
    <cfRule type="expression" dxfId="217" priority="232" stopIfTrue="1">
      <formula>"esterreur(reference)"</formula>
    </cfRule>
  </conditionalFormatting>
  <conditionalFormatting sqref="L5">
    <cfRule type="expression" dxfId="216" priority="231" stopIfTrue="1">
      <formula>"esterreur(reference)"</formula>
    </cfRule>
  </conditionalFormatting>
  <conditionalFormatting sqref="K182">
    <cfRule type="expression" dxfId="215" priority="230" stopIfTrue="1">
      <formula>"esterreur(reference)"</formula>
    </cfRule>
  </conditionalFormatting>
  <conditionalFormatting sqref="L93">
    <cfRule type="expression" dxfId="214" priority="229" stopIfTrue="1">
      <formula>"esterreur(reference)"</formula>
    </cfRule>
  </conditionalFormatting>
  <conditionalFormatting sqref="K171">
    <cfRule type="expression" dxfId="213" priority="228" stopIfTrue="1">
      <formula>"esterreur(reference)"</formula>
    </cfRule>
  </conditionalFormatting>
  <conditionalFormatting sqref="K174">
    <cfRule type="expression" dxfId="212" priority="227" stopIfTrue="1">
      <formula>"esterreur(reference)"</formula>
    </cfRule>
  </conditionalFormatting>
  <conditionalFormatting sqref="K177">
    <cfRule type="expression" dxfId="211" priority="226" stopIfTrue="1">
      <formula>"esterreur(reference)"</formula>
    </cfRule>
  </conditionalFormatting>
  <conditionalFormatting sqref="K180">
    <cfRule type="expression" dxfId="210" priority="225" stopIfTrue="1">
      <formula>"esterreur(reference)"</formula>
    </cfRule>
  </conditionalFormatting>
  <conditionalFormatting sqref="K240">
    <cfRule type="expression" dxfId="209" priority="224" stopIfTrue="1">
      <formula>"esterreur(reference)"</formula>
    </cfRule>
  </conditionalFormatting>
  <conditionalFormatting sqref="K243">
    <cfRule type="expression" dxfId="208" priority="223" stopIfTrue="1">
      <formula>"esterreur(reference)"</formula>
    </cfRule>
  </conditionalFormatting>
  <conditionalFormatting sqref="K246">
    <cfRule type="expression" dxfId="207" priority="222" stopIfTrue="1">
      <formula>"esterreur(reference)"</formula>
    </cfRule>
  </conditionalFormatting>
  <conditionalFormatting sqref="J306:J307">
    <cfRule type="expression" dxfId="206" priority="221" stopIfTrue="1">
      <formula>"esterreur(reference)"</formula>
    </cfRule>
  </conditionalFormatting>
  <conditionalFormatting sqref="K187">
    <cfRule type="expression" dxfId="205" priority="220" stopIfTrue="1">
      <formula>"esterreur(reference)"</formula>
    </cfRule>
  </conditionalFormatting>
  <conditionalFormatting sqref="K190">
    <cfRule type="expression" dxfId="204" priority="219" stopIfTrue="1">
      <formula>"esterreur(reference)"</formula>
    </cfRule>
  </conditionalFormatting>
  <conditionalFormatting sqref="J311">
    <cfRule type="expression" dxfId="203" priority="218" stopIfTrue="1">
      <formula>"esterreur(reference)"</formula>
    </cfRule>
  </conditionalFormatting>
  <conditionalFormatting sqref="K93">
    <cfRule type="expression" dxfId="202" priority="215" stopIfTrue="1">
      <formula>"esterreur(reference)"</formula>
    </cfRule>
  </conditionalFormatting>
  <conditionalFormatting sqref="L240">
    <cfRule type="expression" dxfId="201" priority="214" stopIfTrue="1">
      <formula>"esterreur(reference)"</formula>
    </cfRule>
  </conditionalFormatting>
  <conditionalFormatting sqref="K239">
    <cfRule type="expression" dxfId="200" priority="213" stopIfTrue="1">
      <formula>"esterreur(reference)"</formula>
    </cfRule>
  </conditionalFormatting>
  <conditionalFormatting sqref="L239">
    <cfRule type="expression" dxfId="199" priority="212" stopIfTrue="1">
      <formula>"esterreur(reference)"</formula>
    </cfRule>
  </conditionalFormatting>
  <conditionalFormatting sqref="F183">
    <cfRule type="expression" dxfId="198" priority="211" stopIfTrue="1">
      <formula>"esterreur(reference)"</formula>
    </cfRule>
  </conditionalFormatting>
  <conditionalFormatting sqref="S185">
    <cfRule type="expression" dxfId="197" priority="208" stopIfTrue="1">
      <formula>"esterreur(reference)"</formula>
    </cfRule>
  </conditionalFormatting>
  <conditionalFormatting sqref="K286">
    <cfRule type="expression" dxfId="196" priority="207" stopIfTrue="1">
      <formula>"esterreur(reference)"</formula>
    </cfRule>
  </conditionalFormatting>
  <conditionalFormatting sqref="AO408:AO413">
    <cfRule type="cellIs" dxfId="195" priority="206" operator="greaterThan">
      <formula>0</formula>
    </cfRule>
  </conditionalFormatting>
  <conditionalFormatting sqref="L71">
    <cfRule type="expression" dxfId="194" priority="205" stopIfTrue="1">
      <formula>"esterreur(reference)"</formula>
    </cfRule>
  </conditionalFormatting>
  <conditionalFormatting sqref="L210">
    <cfRule type="expression" dxfId="193" priority="202" stopIfTrue="1">
      <formula>"esterreur(reference)"</formula>
    </cfRule>
  </conditionalFormatting>
  <conditionalFormatting sqref="L122">
    <cfRule type="expression" dxfId="192" priority="204" stopIfTrue="1">
      <formula>"esterreur(reference)"</formula>
    </cfRule>
  </conditionalFormatting>
  <conditionalFormatting sqref="L266">
    <cfRule type="expression" dxfId="191" priority="201" stopIfTrue="1">
      <formula>"esterreur(reference)"</formula>
    </cfRule>
  </conditionalFormatting>
  <conditionalFormatting sqref="L135">
    <cfRule type="expression" dxfId="190" priority="203" stopIfTrue="1">
      <formula>"esterreur(reference)"</formula>
    </cfRule>
  </conditionalFormatting>
  <conditionalFormatting sqref="L330">
    <cfRule type="expression" dxfId="189" priority="200" stopIfTrue="1">
      <formula>"esterreur(reference)"</formula>
    </cfRule>
  </conditionalFormatting>
  <conditionalFormatting sqref="L75">
    <cfRule type="expression" dxfId="188" priority="199" stopIfTrue="1">
      <formula>"esterreur(reference)"</formula>
    </cfRule>
  </conditionalFormatting>
  <conditionalFormatting sqref="L60">
    <cfRule type="expression" dxfId="187" priority="197" stopIfTrue="1">
      <formula>"esterreur(reference)"</formula>
    </cfRule>
  </conditionalFormatting>
  <conditionalFormatting sqref="L59">
    <cfRule type="expression" dxfId="186" priority="198" stopIfTrue="1">
      <formula>"esterreur(reference)"</formula>
    </cfRule>
  </conditionalFormatting>
  <conditionalFormatting sqref="F5">
    <cfRule type="expression" dxfId="185" priority="196" stopIfTrue="1">
      <formula>"esterreur(reference)"</formula>
    </cfRule>
  </conditionalFormatting>
  <conditionalFormatting sqref="O25:Q30 Q18 O83:Q85 O41:Q41 O72:Q72 Q24 O13:O14 O16 O18:O24 O49:Q54 Q6:Q14 O31:P40 O42:P48">
    <cfRule type="expression" dxfId="184" priority="191" stopIfTrue="1">
      <formula>"esterreur(reference)"</formula>
    </cfRule>
  </conditionalFormatting>
  <conditionalFormatting sqref="P5">
    <cfRule type="expression" dxfId="183" priority="168" stopIfTrue="1">
      <formula>"esterreur(reference)"</formula>
    </cfRule>
  </conditionalFormatting>
  <conditionalFormatting sqref="Q32">
    <cfRule type="expression" dxfId="182" priority="186" stopIfTrue="1">
      <formula>"esterreur(reference)"</formula>
    </cfRule>
  </conditionalFormatting>
  <conditionalFormatting sqref="Q35">
    <cfRule type="expression" dxfId="181" priority="185" stopIfTrue="1">
      <formula>"esterreur(reference)"</formula>
    </cfRule>
  </conditionalFormatting>
  <conditionalFormatting sqref="O55:P56 O71:P71">
    <cfRule type="expression" dxfId="180" priority="192" stopIfTrue="1">
      <formula>"esterreur(reference)"</formula>
    </cfRule>
  </conditionalFormatting>
  <conditionalFormatting sqref="O61:P70">
    <cfRule type="expression" dxfId="179" priority="193" stopIfTrue="1">
      <formula>"esterreur(reference)"</formula>
    </cfRule>
  </conditionalFormatting>
  <conditionalFormatting sqref="O57:P59">
    <cfRule type="expression" dxfId="178" priority="194" stopIfTrue="1">
      <formula>"esterreur(reference)"</formula>
    </cfRule>
  </conditionalFormatting>
  <conditionalFormatting sqref="O60:P60">
    <cfRule type="expression" dxfId="177" priority="195" stopIfTrue="1">
      <formula>"esterreur(reference)"</formula>
    </cfRule>
  </conditionalFormatting>
  <conditionalFormatting sqref="Q19 Q21:Q23">
    <cfRule type="expression" dxfId="176" priority="189" stopIfTrue="1">
      <formula>"esterreur(reference)"</formula>
    </cfRule>
  </conditionalFormatting>
  <conditionalFormatting sqref="Q16:Q17">
    <cfRule type="expression" dxfId="175" priority="190" stopIfTrue="1">
      <formula>"esterreur(reference)"</formula>
    </cfRule>
  </conditionalFormatting>
  <conditionalFormatting sqref="Q20">
    <cfRule type="expression" dxfId="174" priority="188" stopIfTrue="1">
      <formula>"esterreur(reference)"</formula>
    </cfRule>
  </conditionalFormatting>
  <conditionalFormatting sqref="Q31 Q33:Q34">
    <cfRule type="expression" dxfId="173" priority="187" stopIfTrue="1">
      <formula>"esterreur(reference)"</formula>
    </cfRule>
  </conditionalFormatting>
  <conditionalFormatting sqref="Q42">
    <cfRule type="expression" dxfId="172" priority="184" stopIfTrue="1">
      <formula>"esterreur(reference)"</formula>
    </cfRule>
  </conditionalFormatting>
  <conditionalFormatting sqref="Q43">
    <cfRule type="expression" dxfId="171" priority="183" stopIfTrue="1">
      <formula>"esterreur(reference)"</formula>
    </cfRule>
  </conditionalFormatting>
  <conditionalFormatting sqref="Q44">
    <cfRule type="expression" dxfId="170" priority="182" stopIfTrue="1">
      <formula>"esterreur(reference)"</formula>
    </cfRule>
  </conditionalFormatting>
  <conditionalFormatting sqref="Q45:Q48">
    <cfRule type="expression" dxfId="169" priority="181" stopIfTrue="1">
      <formula>"esterreur(reference)"</formula>
    </cfRule>
  </conditionalFormatting>
  <conditionalFormatting sqref="Q55">
    <cfRule type="expression" dxfId="168" priority="180" stopIfTrue="1">
      <formula>"esterreur(reference)"</formula>
    </cfRule>
  </conditionalFormatting>
  <conditionalFormatting sqref="Q56">
    <cfRule type="expression" dxfId="167" priority="179" stopIfTrue="1">
      <formula>"esterreur(reference)"</formula>
    </cfRule>
  </conditionalFormatting>
  <conditionalFormatting sqref="Q58">
    <cfRule type="expression" dxfId="166" priority="178" stopIfTrue="1">
      <formula>"esterreur(reference)"</formula>
    </cfRule>
  </conditionalFormatting>
  <conditionalFormatting sqref="Q61">
    <cfRule type="expression" dxfId="165" priority="177" stopIfTrue="1">
      <formula>"esterreur(reference)"</formula>
    </cfRule>
  </conditionalFormatting>
  <conditionalFormatting sqref="Q63">
    <cfRule type="expression" dxfId="164" priority="176" stopIfTrue="1">
      <formula>"esterreur(reference)"</formula>
    </cfRule>
  </conditionalFormatting>
  <conditionalFormatting sqref="Q62">
    <cfRule type="expression" dxfId="163" priority="175" stopIfTrue="1">
      <formula>"esterreur(reference)"</formula>
    </cfRule>
  </conditionalFormatting>
  <conditionalFormatting sqref="Q64">
    <cfRule type="expression" dxfId="162" priority="174" stopIfTrue="1">
      <formula>"esterreur(reference)"</formula>
    </cfRule>
  </conditionalFormatting>
  <conditionalFormatting sqref="Q65">
    <cfRule type="expression" dxfId="161" priority="173" stopIfTrue="1">
      <formula>"esterreur(reference)"</formula>
    </cfRule>
  </conditionalFormatting>
  <conditionalFormatting sqref="Q66:Q69">
    <cfRule type="expression" dxfId="160" priority="172" stopIfTrue="1">
      <formula>"esterreur(reference)"</formula>
    </cfRule>
  </conditionalFormatting>
  <conditionalFormatting sqref="Q70">
    <cfRule type="expression" dxfId="159" priority="171" stopIfTrue="1">
      <formula>"esterreur(reference)"</formula>
    </cfRule>
  </conditionalFormatting>
  <conditionalFormatting sqref="Q75:Q82">
    <cfRule type="expression" dxfId="158" priority="170" stopIfTrue="1">
      <formula>"esterreur(reference)"</formula>
    </cfRule>
  </conditionalFormatting>
  <conditionalFormatting sqref="Q57">
    <cfRule type="expression" dxfId="157" priority="169" stopIfTrue="1">
      <formula>"esterreur(reference)"</formula>
    </cfRule>
  </conditionalFormatting>
  <conditionalFormatting sqref="Q5">
    <cfRule type="expression" dxfId="156" priority="167" stopIfTrue="1">
      <formula>"esterreur(reference)"</formula>
    </cfRule>
  </conditionalFormatting>
  <conditionalFormatting sqref="Q71">
    <cfRule type="expression" dxfId="155" priority="166" stopIfTrue="1">
      <formula>"esterreur(reference)"</formula>
    </cfRule>
  </conditionalFormatting>
  <conditionalFormatting sqref="Q60">
    <cfRule type="expression" dxfId="154" priority="164" stopIfTrue="1">
      <formula>"esterreur(reference)"</formula>
    </cfRule>
  </conditionalFormatting>
  <conditionalFormatting sqref="P98">
    <cfRule type="expression" dxfId="153" priority="163" stopIfTrue="1">
      <formula>"esterreur(reference)"</formula>
    </cfRule>
  </conditionalFormatting>
  <conditionalFormatting sqref="Q59">
    <cfRule type="expression" dxfId="152" priority="165" stopIfTrue="1">
      <formula>"esterreur(reference)"</formula>
    </cfRule>
  </conditionalFormatting>
  <conditionalFormatting sqref="O163:Q163 O164:P164 O121:Q121 O152:Q152 O96:Q97 O100:Q100 P94:P95 O104:Q110 P99 O134:Q134 O101:P103 O135:P136 O155:P156 O111:P120">
    <cfRule type="expression" dxfId="151" priority="159" stopIfTrue="1">
      <formula>"esterreur(reference)"</formula>
    </cfRule>
  </conditionalFormatting>
  <conditionalFormatting sqref="O141:P147">
    <cfRule type="expression" dxfId="150" priority="160" stopIfTrue="1">
      <formula>"esterreur(reference)"</formula>
    </cfRule>
  </conditionalFormatting>
  <conditionalFormatting sqref="O137:P139">
    <cfRule type="expression" dxfId="149" priority="161" stopIfTrue="1">
      <formula>"esterreur(reference)"</formula>
    </cfRule>
  </conditionalFormatting>
  <conditionalFormatting sqref="O140:P140">
    <cfRule type="expression" dxfId="148" priority="162" stopIfTrue="1">
      <formula>"esterreur(reference)"</formula>
    </cfRule>
  </conditionalFormatting>
  <conditionalFormatting sqref="Q94:Q95">
    <cfRule type="expression" dxfId="147" priority="158" stopIfTrue="1">
      <formula>"esterreur(reference)"</formula>
    </cfRule>
  </conditionalFormatting>
  <conditionalFormatting sqref="Q98">
    <cfRule type="expression" dxfId="146" priority="157" stopIfTrue="1">
      <formula>"esterreur(reference)"</formula>
    </cfRule>
  </conditionalFormatting>
  <conditionalFormatting sqref="Q99">
    <cfRule type="expression" dxfId="145" priority="156" stopIfTrue="1">
      <formula>"esterreur(reference)"</formula>
    </cfRule>
  </conditionalFormatting>
  <conditionalFormatting sqref="Q101">
    <cfRule type="expression" dxfId="144" priority="155" stopIfTrue="1">
      <formula>"esterreur(reference)"</formula>
    </cfRule>
  </conditionalFormatting>
  <conditionalFormatting sqref="Q102">
    <cfRule type="expression" dxfId="143" priority="154" stopIfTrue="1">
      <formula>"esterreur(reference)"</formula>
    </cfRule>
  </conditionalFormatting>
  <conditionalFormatting sqref="Q103">
    <cfRule type="expression" dxfId="142" priority="153" stopIfTrue="1">
      <formula>"esterreur(reference)"</formula>
    </cfRule>
  </conditionalFormatting>
  <conditionalFormatting sqref="Q111">
    <cfRule type="expression" dxfId="141" priority="152" stopIfTrue="1">
      <formula>"esterreur(reference)"</formula>
    </cfRule>
  </conditionalFormatting>
  <conditionalFormatting sqref="Q112">
    <cfRule type="expression" dxfId="140" priority="151" stopIfTrue="1">
      <formula>"esterreur(reference)"</formula>
    </cfRule>
  </conditionalFormatting>
  <conditionalFormatting sqref="Q114">
    <cfRule type="expression" dxfId="139" priority="150" stopIfTrue="1">
      <formula>"esterreur(reference)"</formula>
    </cfRule>
  </conditionalFormatting>
  <conditionalFormatting sqref="Q116:Q119">
    <cfRule type="expression" dxfId="138" priority="149" stopIfTrue="1">
      <formula>"esterreur(reference)"</formula>
    </cfRule>
  </conditionalFormatting>
  <conditionalFormatting sqref="Q120">
    <cfRule type="expression" dxfId="137" priority="148" stopIfTrue="1">
      <formula>"esterreur(reference)"</formula>
    </cfRule>
  </conditionalFormatting>
  <conditionalFormatting sqref="Q130">
    <cfRule type="expression" dxfId="136" priority="145" stopIfTrue="1">
      <formula>"esterreur(reference)"</formula>
    </cfRule>
  </conditionalFormatting>
  <conditionalFormatting sqref="Q124">
    <cfRule type="expression" dxfId="135" priority="147" stopIfTrue="1">
      <formula>"esterreur(reference)"</formula>
    </cfRule>
  </conditionalFormatting>
  <conditionalFormatting sqref="Q123">
    <cfRule type="expression" dxfId="134" priority="146" stopIfTrue="1">
      <formula>"esterreur(reference)"</formula>
    </cfRule>
  </conditionalFormatting>
  <conditionalFormatting sqref="Q139">
    <cfRule type="expression" dxfId="133" priority="138" stopIfTrue="1">
      <formula>"esterreur(reference)"</formula>
    </cfRule>
  </conditionalFormatting>
  <conditionalFormatting sqref="Q131">
    <cfRule type="expression" dxfId="132" priority="144" stopIfTrue="1">
      <formula>"esterreur(reference)"</formula>
    </cfRule>
  </conditionalFormatting>
  <conditionalFormatting sqref="Q132">
    <cfRule type="expression" dxfId="131" priority="143" stopIfTrue="1">
      <formula>"esterreur(reference)"</formula>
    </cfRule>
  </conditionalFormatting>
  <conditionalFormatting sqref="Q133">
    <cfRule type="expression" dxfId="130" priority="142" stopIfTrue="1">
      <formula>"esterreur(reference)"</formula>
    </cfRule>
  </conditionalFormatting>
  <conditionalFormatting sqref="Q141">
    <cfRule type="expression" dxfId="129" priority="136" stopIfTrue="1">
      <formula>"esterreur(reference)"</formula>
    </cfRule>
  </conditionalFormatting>
  <conditionalFormatting sqref="Q136">
    <cfRule type="expression" dxfId="128" priority="141" stopIfTrue="1">
      <formula>"esterreur(reference)"</formula>
    </cfRule>
  </conditionalFormatting>
  <conditionalFormatting sqref="Q137">
    <cfRule type="expression" dxfId="127" priority="140" stopIfTrue="1">
      <formula>"esterreur(reference)"</formula>
    </cfRule>
  </conditionalFormatting>
  <conditionalFormatting sqref="Q138">
    <cfRule type="expression" dxfId="126" priority="139" stopIfTrue="1">
      <formula>"esterreur(reference)"</formula>
    </cfRule>
  </conditionalFormatting>
  <conditionalFormatting sqref="Q143">
    <cfRule type="expression" dxfId="125" priority="134" stopIfTrue="1">
      <formula>"esterreur(reference)"</formula>
    </cfRule>
  </conditionalFormatting>
  <conditionalFormatting sqref="Q140">
    <cfRule type="expression" dxfId="124" priority="137" stopIfTrue="1">
      <formula>"esterreur(reference)"</formula>
    </cfRule>
  </conditionalFormatting>
  <conditionalFormatting sqref="Q142">
    <cfRule type="expression" dxfId="123" priority="135" stopIfTrue="1">
      <formula>"esterreur(reference)"</formula>
    </cfRule>
  </conditionalFormatting>
  <conditionalFormatting sqref="Q144">
    <cfRule type="expression" dxfId="122" priority="133" stopIfTrue="1">
      <formula>"esterreur(reference)"</formula>
    </cfRule>
  </conditionalFormatting>
  <conditionalFormatting sqref="Q145">
    <cfRule type="expression" dxfId="121" priority="132" stopIfTrue="1">
      <formula>"esterreur(reference)"</formula>
    </cfRule>
  </conditionalFormatting>
  <conditionalFormatting sqref="Q146">
    <cfRule type="expression" dxfId="120" priority="131" stopIfTrue="1">
      <formula>"esterreur(reference)"</formula>
    </cfRule>
  </conditionalFormatting>
  <conditionalFormatting sqref="Q147">
    <cfRule type="expression" dxfId="119" priority="130" stopIfTrue="1">
      <formula>"esterreur(reference)"</formula>
    </cfRule>
  </conditionalFormatting>
  <conditionalFormatting sqref="Q113">
    <cfRule type="expression" dxfId="118" priority="127" stopIfTrue="1">
      <formula>"esterreur(reference)"</formula>
    </cfRule>
  </conditionalFormatting>
  <conditionalFormatting sqref="Q155:Q161">
    <cfRule type="expression" dxfId="117" priority="129" stopIfTrue="1">
      <formula>"esterreur(reference)"</formula>
    </cfRule>
  </conditionalFormatting>
  <conditionalFormatting sqref="Q93">
    <cfRule type="expression" dxfId="116" priority="126" stopIfTrue="1">
      <formula>"esterreur(reference)"</formula>
    </cfRule>
  </conditionalFormatting>
  <conditionalFormatting sqref="Q115">
    <cfRule type="expression" dxfId="115" priority="128" stopIfTrue="1">
      <formula>"esterreur(reference)"</formula>
    </cfRule>
  </conditionalFormatting>
  <conditionalFormatting sqref="P93">
    <cfRule type="expression" dxfId="114" priority="125" stopIfTrue="1">
      <formula>"esterreur(reference)"</formula>
    </cfRule>
  </conditionalFormatting>
  <conditionalFormatting sqref="Q122">
    <cfRule type="expression" dxfId="113" priority="124" stopIfTrue="1">
      <formula>"esterreur(reference)"</formula>
    </cfRule>
  </conditionalFormatting>
  <conditionalFormatting sqref="Q135">
    <cfRule type="expression" dxfId="112" priority="123" stopIfTrue="1">
      <formula>"esterreur(reference)"</formula>
    </cfRule>
  </conditionalFormatting>
  <conditionalFormatting sqref="O171:O195 O231:Q231 O232:P232 P172:Q172 P175:Q176 P178:Q179 P181:Q181 P184:Q186 P183 P188:Q189 Q182 P191:Q195 Q190 Q173 O225:P228 O197:P218">
    <cfRule type="expression" dxfId="111" priority="120" stopIfTrue="1">
      <formula>"esterreur(reference)"</formula>
    </cfRule>
  </conditionalFormatting>
  <conditionalFormatting sqref="O219:P224">
    <cfRule type="expression" dxfId="110" priority="121" stopIfTrue="1">
      <formula>"esterreur(reference)"</formula>
    </cfRule>
  </conditionalFormatting>
  <conditionalFormatting sqref="O196:Q196">
    <cfRule type="expression" dxfId="109" priority="122" stopIfTrue="1">
      <formula>"esterreur(reference)"</formula>
    </cfRule>
  </conditionalFormatting>
  <conditionalFormatting sqref="Q207">
    <cfRule type="expression" dxfId="108" priority="106" stopIfTrue="1">
      <formula>"esterreur(reference)"</formula>
    </cfRule>
  </conditionalFormatting>
  <conditionalFormatting sqref="Q227">
    <cfRule type="expression" dxfId="107" priority="102" stopIfTrue="1">
      <formula>"esterreur(reference)"</formula>
    </cfRule>
  </conditionalFormatting>
  <conditionalFormatting sqref="Q171">
    <cfRule type="expression" dxfId="106" priority="119" stopIfTrue="1">
      <formula>"esterreur(reference)"</formula>
    </cfRule>
  </conditionalFormatting>
  <conditionalFormatting sqref="Q174">
    <cfRule type="expression" dxfId="105" priority="118" stopIfTrue="1">
      <formula>"esterreur(reference)"</formula>
    </cfRule>
  </conditionalFormatting>
  <conditionalFormatting sqref="Q177">
    <cfRule type="expression" dxfId="104" priority="117" stopIfTrue="1">
      <formula>"esterreur(reference)"</formula>
    </cfRule>
  </conditionalFormatting>
  <conditionalFormatting sqref="Q183">
    <cfRule type="expression" dxfId="103" priority="116" stopIfTrue="1">
      <formula>"esterreur(reference)"</formula>
    </cfRule>
  </conditionalFormatting>
  <conditionalFormatting sqref="Q187">
    <cfRule type="expression" dxfId="102" priority="115" stopIfTrue="1">
      <formula>"esterreur(reference)"</formula>
    </cfRule>
  </conditionalFormatting>
  <conditionalFormatting sqref="Q197">
    <cfRule type="expression" dxfId="101" priority="114" stopIfTrue="1">
      <formula>"esterreur(reference)"</formula>
    </cfRule>
  </conditionalFormatting>
  <conditionalFormatting sqref="Q199">
    <cfRule type="expression" dxfId="100" priority="113" stopIfTrue="1">
      <formula>"esterreur(reference)"</formula>
    </cfRule>
  </conditionalFormatting>
  <conditionalFormatting sqref="Q198">
    <cfRule type="expression" dxfId="99" priority="112" stopIfTrue="1">
      <formula>"esterreur(reference)"</formula>
    </cfRule>
  </conditionalFormatting>
  <conditionalFormatting sqref="Q200">
    <cfRule type="expression" dxfId="98" priority="111" stopIfTrue="1">
      <formula>"esterreur(reference)"</formula>
    </cfRule>
  </conditionalFormatting>
  <conditionalFormatting sqref="Q201">
    <cfRule type="expression" dxfId="97" priority="110" stopIfTrue="1">
      <formula>"esterreur(reference)"</formula>
    </cfRule>
  </conditionalFormatting>
  <conditionalFormatting sqref="Q202:Q204">
    <cfRule type="expression" dxfId="96" priority="109" stopIfTrue="1">
      <formula>"esterreur(reference)"</formula>
    </cfRule>
  </conditionalFormatting>
  <conditionalFormatting sqref="Q206">
    <cfRule type="expression" dxfId="95" priority="107" stopIfTrue="1">
      <formula>"esterreur(reference)"</formula>
    </cfRule>
  </conditionalFormatting>
  <conditionalFormatting sqref="Q205">
    <cfRule type="expression" dxfId="94" priority="108" stopIfTrue="1">
      <formula>"esterreur(reference)"</formula>
    </cfRule>
  </conditionalFormatting>
  <conditionalFormatting sqref="Q208">
    <cfRule type="expression" dxfId="93" priority="105" stopIfTrue="1">
      <formula>"esterreur(reference)"</formula>
    </cfRule>
  </conditionalFormatting>
  <conditionalFormatting sqref="Q211:Q224">
    <cfRule type="expression" dxfId="92" priority="104" stopIfTrue="1">
      <formula>"esterreur(reference)"</formula>
    </cfRule>
  </conditionalFormatting>
  <conditionalFormatting sqref="Q225:Q226">
    <cfRule type="expression" dxfId="91" priority="103" stopIfTrue="1">
      <formula>"esterreur(reference)"</formula>
    </cfRule>
  </conditionalFormatting>
  <conditionalFormatting sqref="Q180">
    <cfRule type="expression" dxfId="90" priority="101" stopIfTrue="1">
      <formula>"esterreur(reference)"</formula>
    </cfRule>
  </conditionalFormatting>
  <conditionalFormatting sqref="P182">
    <cfRule type="expression" dxfId="89" priority="100" stopIfTrue="1">
      <formula>"esterreur(reference)"</formula>
    </cfRule>
  </conditionalFormatting>
  <conditionalFormatting sqref="P171">
    <cfRule type="expression" dxfId="88" priority="99" stopIfTrue="1">
      <formula>"esterreur(reference)"</formula>
    </cfRule>
  </conditionalFormatting>
  <conditionalFormatting sqref="P174">
    <cfRule type="expression" dxfId="87" priority="98" stopIfTrue="1">
      <formula>"esterreur(reference)"</formula>
    </cfRule>
  </conditionalFormatting>
  <conditionalFormatting sqref="P177">
    <cfRule type="expression" dxfId="86" priority="97" stopIfTrue="1">
      <formula>"esterreur(reference)"</formula>
    </cfRule>
  </conditionalFormatting>
  <conditionalFormatting sqref="P180">
    <cfRule type="expression" dxfId="85" priority="96" stopIfTrue="1">
      <formula>"esterreur(reference)"</formula>
    </cfRule>
  </conditionalFormatting>
  <conditionalFormatting sqref="P187">
    <cfRule type="expression" dxfId="84" priority="95" stopIfTrue="1">
      <formula>"esterreur(reference)"</formula>
    </cfRule>
  </conditionalFormatting>
  <conditionalFormatting sqref="P190">
    <cfRule type="expression" dxfId="83" priority="94" stopIfTrue="1">
      <formula>"esterreur(reference)"</formula>
    </cfRule>
  </conditionalFormatting>
  <conditionalFormatting sqref="Q210">
    <cfRule type="expression" dxfId="82" priority="93" stopIfTrue="1">
      <formula>"esterreur(reference)"</formula>
    </cfRule>
  </conditionalFormatting>
  <conditionalFormatting sqref="O287:Q287 O288:P288 O242:Q242 O251:Q252 O284:Q284 Q275:Q283 O253:P274">
    <cfRule type="expression" dxfId="81" priority="90" stopIfTrue="1">
      <formula>"esterreur(reference)"</formula>
    </cfRule>
  </conditionalFormatting>
  <conditionalFormatting sqref="O275:P280">
    <cfRule type="expression" dxfId="80" priority="91" stopIfTrue="1">
      <formula>"esterreur(reference)"</formula>
    </cfRule>
  </conditionalFormatting>
  <conditionalFormatting sqref="O281:P283">
    <cfRule type="expression" dxfId="79" priority="92" stopIfTrue="1">
      <formula>"esterreur(reference)"</formula>
    </cfRule>
  </conditionalFormatting>
  <conditionalFormatting sqref="Q271">
    <cfRule type="expression" dxfId="78" priority="72" stopIfTrue="1">
      <formula>"esterreur(reference)"</formula>
    </cfRule>
  </conditionalFormatting>
  <conditionalFormatting sqref="Q274">
    <cfRule type="expression" dxfId="77" priority="70" stopIfTrue="1">
      <formula>"esterreur(reference)"</formula>
    </cfRule>
  </conditionalFormatting>
  <conditionalFormatting sqref="Q243">
    <cfRule type="expression" dxfId="76" priority="89" stopIfTrue="1">
      <formula>"esterreur(reference)"</formula>
    </cfRule>
  </conditionalFormatting>
  <conditionalFormatting sqref="Q246">
    <cfRule type="expression" dxfId="75" priority="88" stopIfTrue="1">
      <formula>"esterreur(reference)"</formula>
    </cfRule>
  </conditionalFormatting>
  <conditionalFormatting sqref="Q253">
    <cfRule type="expression" dxfId="74" priority="87" stopIfTrue="1">
      <formula>"esterreur(reference)"</formula>
    </cfRule>
  </conditionalFormatting>
  <conditionalFormatting sqref="Q254">
    <cfRule type="expression" dxfId="73" priority="86" stopIfTrue="1">
      <formula>"esterreur(reference)"</formula>
    </cfRule>
  </conditionalFormatting>
  <conditionalFormatting sqref="Q255">
    <cfRule type="expression" dxfId="72" priority="85" stopIfTrue="1">
      <formula>"esterreur(reference)"</formula>
    </cfRule>
  </conditionalFormatting>
  <conditionalFormatting sqref="Q256">
    <cfRule type="expression" dxfId="71" priority="84" stopIfTrue="1">
      <formula>"esterreur(reference)"</formula>
    </cfRule>
  </conditionalFormatting>
  <conditionalFormatting sqref="Q257">
    <cfRule type="expression" dxfId="70" priority="83" stopIfTrue="1">
      <formula>"esterreur(reference)"</formula>
    </cfRule>
  </conditionalFormatting>
  <conditionalFormatting sqref="Q258">
    <cfRule type="expression" dxfId="69" priority="82" stopIfTrue="1">
      <formula>"esterreur(reference)"</formula>
    </cfRule>
  </conditionalFormatting>
  <conditionalFormatting sqref="Q259">
    <cfRule type="expression" dxfId="68" priority="81" stopIfTrue="1">
      <formula>"esterreur(reference)"</formula>
    </cfRule>
  </conditionalFormatting>
  <conditionalFormatting sqref="Q260">
    <cfRule type="expression" dxfId="67" priority="80" stopIfTrue="1">
      <formula>"esterreur(reference)"</formula>
    </cfRule>
  </conditionalFormatting>
  <conditionalFormatting sqref="Q261">
    <cfRule type="expression" dxfId="66" priority="79" stopIfTrue="1">
      <formula>"esterreur(reference)"</formula>
    </cfRule>
  </conditionalFormatting>
  <conditionalFormatting sqref="Q262">
    <cfRule type="expression" dxfId="65" priority="78" stopIfTrue="1">
      <formula>"esterreur(reference)"</formula>
    </cfRule>
  </conditionalFormatting>
  <conditionalFormatting sqref="Q263:Q264">
    <cfRule type="expression" dxfId="64" priority="77" stopIfTrue="1">
      <formula>"esterreur(reference)"</formula>
    </cfRule>
  </conditionalFormatting>
  <conditionalFormatting sqref="Q268">
    <cfRule type="expression" dxfId="63" priority="75" stopIfTrue="1">
      <formula>"esterreur(reference)"</formula>
    </cfRule>
  </conditionalFormatting>
  <conditionalFormatting sqref="Q267">
    <cfRule type="expression" dxfId="62" priority="76" stopIfTrue="1">
      <formula>"esterreur(reference)"</formula>
    </cfRule>
  </conditionalFormatting>
  <conditionalFormatting sqref="Q269">
    <cfRule type="expression" dxfId="61" priority="74" stopIfTrue="1">
      <formula>"esterreur(reference)"</formula>
    </cfRule>
  </conditionalFormatting>
  <conditionalFormatting sqref="Q270">
    <cfRule type="expression" dxfId="60" priority="73" stopIfTrue="1">
      <formula>"esterreur(reference)"</formula>
    </cfRule>
  </conditionalFormatting>
  <conditionalFormatting sqref="Q272:Q273">
    <cfRule type="expression" dxfId="59" priority="71" stopIfTrue="1">
      <formula>"esterreur(reference)"</formula>
    </cfRule>
  </conditionalFormatting>
  <conditionalFormatting sqref="P240">
    <cfRule type="expression" dxfId="58" priority="69" stopIfTrue="1">
      <formula>"esterreur(reference)"</formula>
    </cfRule>
  </conditionalFormatting>
  <conditionalFormatting sqref="P243">
    <cfRule type="expression" dxfId="57" priority="68" stopIfTrue="1">
      <formula>"esterreur(reference)"</formula>
    </cfRule>
  </conditionalFormatting>
  <conditionalFormatting sqref="P246">
    <cfRule type="expression" dxfId="56" priority="67" stopIfTrue="1">
      <formula>"esterreur(reference)"</formula>
    </cfRule>
  </conditionalFormatting>
  <conditionalFormatting sqref="Q240">
    <cfRule type="expression" dxfId="55" priority="66" stopIfTrue="1">
      <formula>"esterreur(reference)"</formula>
    </cfRule>
  </conditionalFormatting>
  <conditionalFormatting sqref="P286">
    <cfRule type="expression" dxfId="54" priority="65" stopIfTrue="1">
      <formula>"esterreur(reference)"</formula>
    </cfRule>
  </conditionalFormatting>
  <conditionalFormatting sqref="Q266">
    <cfRule type="expression" dxfId="53" priority="64" stopIfTrue="1">
      <formula>"esterreur(reference)"</formula>
    </cfRule>
  </conditionalFormatting>
  <conditionalFormatting sqref="O308:Q310 O303:Q305 O351:Q351 O352:P352 O348:Q348 O312:Q315 P306:P307 P311 O294:P302 Q319:Q324 O317:P347">
    <cfRule type="expression" dxfId="52" priority="62" stopIfTrue="1">
      <formula>"esterreur(reference)"</formula>
    </cfRule>
  </conditionalFormatting>
  <conditionalFormatting sqref="O316:Q316">
    <cfRule type="expression" dxfId="51" priority="63" stopIfTrue="1">
      <formula>"esterreur(reference)"</formula>
    </cfRule>
  </conditionalFormatting>
  <conditionalFormatting sqref="Q331:Q347">
    <cfRule type="expression" dxfId="50" priority="49" stopIfTrue="1">
      <formula>"esterreur(reference)"</formula>
    </cfRule>
  </conditionalFormatting>
  <conditionalFormatting sqref="Q325">
    <cfRule type="expression" dxfId="49" priority="53" stopIfTrue="1">
      <formula>"esterreur(reference)"</formula>
    </cfRule>
  </conditionalFormatting>
  <conditionalFormatting sqref="Q326">
    <cfRule type="expression" dxfId="48" priority="52" stopIfTrue="1">
      <formula>"esterreur(reference)"</formula>
    </cfRule>
  </conditionalFormatting>
  <conditionalFormatting sqref="Q327">
    <cfRule type="expression" dxfId="47" priority="51" stopIfTrue="1">
      <formula>"esterreur(reference)"</formula>
    </cfRule>
  </conditionalFormatting>
  <conditionalFormatting sqref="Q328">
    <cfRule type="expression" dxfId="46" priority="50" stopIfTrue="1">
      <formula>"esterreur(reference)"</formula>
    </cfRule>
  </conditionalFormatting>
  <conditionalFormatting sqref="Q294:Q300">
    <cfRule type="expression" dxfId="45" priority="61" stopIfTrue="1">
      <formula>"esterreur(reference)"</formula>
    </cfRule>
  </conditionalFormatting>
  <conditionalFormatting sqref="Q301">
    <cfRule type="expression" dxfId="44" priority="60" stopIfTrue="1">
      <formula>"esterreur(reference)"</formula>
    </cfRule>
  </conditionalFormatting>
  <conditionalFormatting sqref="Q302">
    <cfRule type="expression" dxfId="43" priority="59" stopIfTrue="1">
      <formula>"esterreur(reference)"</formula>
    </cfRule>
  </conditionalFormatting>
  <conditionalFormatting sqref="Q306">
    <cfRule type="expression" dxfId="42" priority="58" stopIfTrue="1">
      <formula>"esterreur(reference)"</formula>
    </cfRule>
  </conditionalFormatting>
  <conditionalFormatting sqref="Q307">
    <cfRule type="expression" dxfId="41" priority="57" stopIfTrue="1">
      <formula>"esterreur(reference)"</formula>
    </cfRule>
  </conditionalFormatting>
  <conditionalFormatting sqref="Q311">
    <cfRule type="expression" dxfId="40" priority="56" stopIfTrue="1">
      <formula>"esterreur(reference)"</formula>
    </cfRule>
  </conditionalFormatting>
  <conditionalFormatting sqref="Q317">
    <cfRule type="expression" dxfId="39" priority="55" stopIfTrue="1">
      <formula>"esterreur(reference)"</formula>
    </cfRule>
  </conditionalFormatting>
  <conditionalFormatting sqref="Q318">
    <cfRule type="expression" dxfId="38" priority="54" stopIfTrue="1">
      <formula>"esterreur(reference)"</formula>
    </cfRule>
  </conditionalFormatting>
  <conditionalFormatting sqref="O306:O307">
    <cfRule type="expression" dxfId="37" priority="48" stopIfTrue="1">
      <formula>"esterreur(reference)"</formula>
    </cfRule>
  </conditionalFormatting>
  <conditionalFormatting sqref="O311">
    <cfRule type="expression" dxfId="36" priority="47" stopIfTrue="1">
      <formula>"esterreur(reference)"</formula>
    </cfRule>
  </conditionalFormatting>
  <conditionalFormatting sqref="Q330">
    <cfRule type="expression" dxfId="35" priority="46" stopIfTrue="1">
      <formula>"esterreur(reference)"</formula>
    </cfRule>
  </conditionalFormatting>
  <conditionalFormatting sqref="Q36:Q40">
    <cfRule type="expression" dxfId="34" priority="35" stopIfTrue="1">
      <formula>"esterreur(reference)"</formula>
    </cfRule>
  </conditionalFormatting>
  <conditionalFormatting sqref="L68">
    <cfRule type="expression" dxfId="33" priority="34" stopIfTrue="1">
      <formula>"esterreur(reference)"</formula>
    </cfRule>
  </conditionalFormatting>
  <conditionalFormatting sqref="Q149:Q151">
    <cfRule type="expression" dxfId="32" priority="26" stopIfTrue="1">
      <formula>"esterreur(reference)"</formula>
    </cfRule>
  </conditionalFormatting>
  <conditionalFormatting sqref="H148 J148:K148">
    <cfRule type="expression" dxfId="31" priority="33" stopIfTrue="1">
      <formula>"esterreur(reference)"</formula>
    </cfRule>
  </conditionalFormatting>
  <conditionalFormatting sqref="L148">
    <cfRule type="expression" dxfId="30" priority="32" stopIfTrue="1">
      <formula>"esterreur(reference)"</formula>
    </cfRule>
  </conditionalFormatting>
  <conditionalFormatting sqref="O148:P148">
    <cfRule type="expression" dxfId="29" priority="31" stopIfTrue="1">
      <formula>"esterreur(reference)"</formula>
    </cfRule>
  </conditionalFormatting>
  <conditionalFormatting sqref="Q148">
    <cfRule type="expression" dxfId="28" priority="30" stopIfTrue="1">
      <formula>"esterreur(reference)"</formula>
    </cfRule>
  </conditionalFormatting>
  <conditionalFormatting sqref="H149:H151 J149:K151">
    <cfRule type="expression" dxfId="27" priority="29" stopIfTrue="1">
      <formula>"esterreur(reference)"</formula>
    </cfRule>
  </conditionalFormatting>
  <conditionalFormatting sqref="L149:L151">
    <cfRule type="expression" dxfId="26" priority="28" stopIfTrue="1">
      <formula>"esterreur(reference)"</formula>
    </cfRule>
  </conditionalFormatting>
  <conditionalFormatting sqref="O149:P151">
    <cfRule type="expression" dxfId="25" priority="27" stopIfTrue="1">
      <formula>"esterreur(reference)"</formula>
    </cfRule>
  </conditionalFormatting>
  <conditionalFormatting sqref="L158:L161">
    <cfRule type="expression" dxfId="24" priority="25" stopIfTrue="1">
      <formula>"esterreur(reference)"</formula>
    </cfRule>
  </conditionalFormatting>
  <conditionalFormatting sqref="AG414:AI417">
    <cfRule type="cellIs" dxfId="23" priority="24" operator="greaterThan">
      <formula>0</formula>
    </cfRule>
  </conditionalFormatting>
  <conditionalFormatting sqref="AO414:AO417">
    <cfRule type="cellIs" dxfId="22" priority="23" operator="greaterThan">
      <formula>0</formula>
    </cfRule>
  </conditionalFormatting>
  <conditionalFormatting sqref="H353:H354 J353:K354 J399:K399 H399 H363:L363 H364:H375 J364:K375">
    <cfRule type="expression" dxfId="21" priority="16" stopIfTrue="1">
      <formula>"esterreur(reference)"</formula>
    </cfRule>
  </conditionalFormatting>
  <conditionalFormatting sqref="K356 J356:J357 H356:I356 L355:L356 H358:L358">
    <cfRule type="expression" dxfId="20" priority="17" stopIfTrue="1">
      <formula>"esterreur(reference)"</formula>
    </cfRule>
  </conditionalFormatting>
  <conditionalFormatting sqref="H396">
    <cfRule type="expression" dxfId="19" priority="18" stopIfTrue="1">
      <formula>"esterreur(reference)"</formula>
    </cfRule>
  </conditionalFormatting>
  <conditionalFormatting sqref="I376:L376 H377:H392 J377:K392">
    <cfRule type="expression" dxfId="18" priority="19" stopIfTrue="1">
      <formula>"esterreur(reference)"</formula>
    </cfRule>
  </conditionalFormatting>
  <conditionalFormatting sqref="H397:L398 I396:L396 H395:L395 H393:H394 J393:K393">
    <cfRule type="expression" dxfId="17" priority="20" stopIfTrue="1">
      <formula>"esterreur(reference)"</formula>
    </cfRule>
  </conditionalFormatting>
  <conditionalFormatting sqref="H360:L362 H359 K359">
    <cfRule type="expression" dxfId="16" priority="21" stopIfTrue="1">
      <formula>"esterreur(reference)"</formula>
    </cfRule>
  </conditionalFormatting>
  <conditionalFormatting sqref="K394">
    <cfRule type="expression" dxfId="15" priority="22" stopIfTrue="1">
      <formula>"esterreur(reference)"</formula>
    </cfRule>
  </conditionalFormatting>
  <conditionalFormatting sqref="L364:L375">
    <cfRule type="expression" dxfId="14" priority="15" stopIfTrue="1">
      <formula>"esterreur(reference)"</formula>
    </cfRule>
  </conditionalFormatting>
  <conditionalFormatting sqref="J359">
    <cfRule type="expression" dxfId="13" priority="13" stopIfTrue="1">
      <formula>"esterreur(reference)"</formula>
    </cfRule>
  </conditionalFormatting>
  <conditionalFormatting sqref="L359">
    <cfRule type="expression" dxfId="12" priority="12" stopIfTrue="1">
      <formula>"esterreur(reference)"</formula>
    </cfRule>
  </conditionalFormatting>
  <conditionalFormatting sqref="O363:Q363 O364:P375">
    <cfRule type="expression" dxfId="11" priority="6" stopIfTrue="1">
      <formula>"esterreur(reference)"</formula>
    </cfRule>
  </conditionalFormatting>
  <conditionalFormatting sqref="O358:Q358">
    <cfRule type="expression" dxfId="10" priority="7" stopIfTrue="1">
      <formula>"esterreur(reference)"</formula>
    </cfRule>
  </conditionalFormatting>
  <conditionalFormatting sqref="O376:Q376 O377:P392">
    <cfRule type="expression" dxfId="9" priority="8" stopIfTrue="1">
      <formula>"esterreur(reference)"</formula>
    </cfRule>
  </conditionalFormatting>
  <conditionalFormatting sqref="O395:Q398 O393:P393">
    <cfRule type="expression" dxfId="8" priority="9" stopIfTrue="1">
      <formula>"esterreur(reference)"</formula>
    </cfRule>
  </conditionalFormatting>
  <conditionalFormatting sqref="O360:Q362 P359">
    <cfRule type="expression" dxfId="7" priority="10" stopIfTrue="1">
      <formula>"esterreur(reference)"</formula>
    </cfRule>
  </conditionalFormatting>
  <conditionalFormatting sqref="P394">
    <cfRule type="expression" dxfId="6" priority="11" stopIfTrue="1">
      <formula>"esterreur(reference)"</formula>
    </cfRule>
  </conditionalFormatting>
  <conditionalFormatting sqref="Q364:Q375">
    <cfRule type="expression" dxfId="5" priority="5" stopIfTrue="1">
      <formula>"esterreur(reference)"</formula>
    </cfRule>
  </conditionalFormatting>
  <conditionalFormatting sqref="Q377:Q393">
    <cfRule type="expression" dxfId="4" priority="4" stopIfTrue="1">
      <formula>"esterreur(reference)"</formula>
    </cfRule>
  </conditionalFormatting>
  <conditionalFormatting sqref="O359">
    <cfRule type="expression" dxfId="3" priority="3" stopIfTrue="1">
      <formula>"esterreur(reference)"</formula>
    </cfRule>
  </conditionalFormatting>
  <conditionalFormatting sqref="Q359">
    <cfRule type="expression" dxfId="2" priority="2" stopIfTrue="1">
      <formula>"esterreur(reference)"</formula>
    </cfRule>
  </conditionalFormatting>
  <conditionalFormatting sqref="L377:L393">
    <cfRule type="expression" dxfId="1" priority="1" stopIfTrue="1">
      <formula>"esterreur(reference)"</formula>
    </cfRule>
  </conditionalFormatting>
  <printOptions horizontalCentered="1"/>
  <pageMargins left="0" right="0" top="0.5" bottom="0.25" header="0" footer="0"/>
  <pageSetup scale="40" orientation="landscape" r:id="rId1"/>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B050"/>
    <outlinePr summaryBelow="0"/>
  </sheetPr>
  <dimension ref="A1:X1059"/>
  <sheetViews>
    <sheetView topLeftCell="M1" workbookViewId="0">
      <pane ySplit="1" topLeftCell="A2" activePane="bottomLeft" state="frozen"/>
      <selection pane="bottomLeft" activeCell="T453" sqref="T453"/>
    </sheetView>
  </sheetViews>
  <sheetFormatPr baseColWidth="10" defaultColWidth="12.625" defaultRowHeight="15" customHeight="1"/>
  <cols>
    <col min="1" max="1" width="29.25" style="949" customWidth="1"/>
    <col min="2" max="2" width="31.25" style="949" customWidth="1"/>
    <col min="3" max="3" width="14.625" style="949" customWidth="1"/>
    <col min="4" max="11" width="12.875" style="949" customWidth="1"/>
    <col min="12" max="12" width="12.875" customWidth="1"/>
    <col min="13" max="13" width="39.75" customWidth="1"/>
    <col min="14" max="14" width="14.875" customWidth="1"/>
    <col min="15" max="15" width="12.875" style="1125"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146" t="s">
        <v>265</v>
      </c>
      <c r="B1" s="1146" t="s">
        <v>266</v>
      </c>
      <c r="C1" s="1148" t="s">
        <v>267</v>
      </c>
      <c r="D1" s="1148" t="s">
        <v>268</v>
      </c>
      <c r="E1" s="1148" t="s">
        <v>269</v>
      </c>
      <c r="F1" s="1146" t="s">
        <v>270</v>
      </c>
      <c r="G1" s="1146" t="s">
        <v>271</v>
      </c>
      <c r="H1" s="1146" t="s">
        <v>272</v>
      </c>
      <c r="I1" s="1148" t="s">
        <v>273</v>
      </c>
      <c r="J1" s="1148" t="s">
        <v>274</v>
      </c>
      <c r="K1" s="1148" t="s">
        <v>275</v>
      </c>
      <c r="L1" s="148" t="s">
        <v>266</v>
      </c>
      <c r="M1" s="148" t="s">
        <v>265</v>
      </c>
      <c r="N1" s="148" t="s">
        <v>267</v>
      </c>
      <c r="O1" s="1121" t="s">
        <v>268</v>
      </c>
      <c r="P1" s="148" t="s">
        <v>269</v>
      </c>
      <c r="Q1" s="148" t="s">
        <v>270</v>
      </c>
      <c r="R1" s="148" t="s">
        <v>271</v>
      </c>
      <c r="S1" s="148" t="s">
        <v>272</v>
      </c>
      <c r="T1" s="149" t="s">
        <v>276</v>
      </c>
      <c r="U1" s="149" t="s">
        <v>277</v>
      </c>
      <c r="V1" s="149" t="s">
        <v>278</v>
      </c>
      <c r="W1" s="149" t="s">
        <v>279</v>
      </c>
      <c r="X1" s="149" t="s">
        <v>1918</v>
      </c>
    </row>
    <row r="2" spans="1:24" ht="15" hidden="1" customHeight="1">
      <c r="A2" s="1147" t="s">
        <v>2205</v>
      </c>
      <c r="B2" s="1147" t="s">
        <v>2206</v>
      </c>
      <c r="C2" s="1145"/>
      <c r="D2" s="1145"/>
      <c r="E2" s="1145"/>
      <c r="F2" s="1147" t="s">
        <v>1</v>
      </c>
      <c r="G2" s="1147" t="s">
        <v>2207</v>
      </c>
      <c r="H2" s="1145"/>
      <c r="I2" s="1149">
        <v>32869</v>
      </c>
      <c r="J2" s="1149">
        <v>0</v>
      </c>
      <c r="K2" s="1149">
        <v>32869</v>
      </c>
      <c r="L2" s="153" t="str">
        <f t="shared" ref="L2:L65" si="0">+B2</f>
        <v>10</v>
      </c>
      <c r="M2" s="154" t="str">
        <f t="shared" ref="M2:M65" si="1">+A2</f>
        <v>PROFIT/PERTES JANVIER</v>
      </c>
      <c r="N2" s="155">
        <f>+IF(OR($Q2=Parametres!$G$2,$Q2=Parametres!$G$3),I2,C2)</f>
        <v>32869</v>
      </c>
      <c r="O2" s="1122">
        <f>+IF(OR($Q2=Parametres!$G$2,$Q2=Parametres!$G$3),J2,D2)</f>
        <v>0</v>
      </c>
      <c r="P2" s="155">
        <f>+IF(OR($Q2=Parametres!$G$2,$Q2=Parametres!$G$3),K2,E2)</f>
        <v>32869</v>
      </c>
      <c r="Q2" s="154" t="str">
        <f t="shared" ref="Q2:Q65" si="2">+F2</f>
        <v>1-Mémo</v>
      </c>
      <c r="R2" s="153" t="str">
        <f t="shared" ref="R2:R65" si="3">+G2</f>
        <v>1</v>
      </c>
      <c r="S2" s="154">
        <f t="shared" ref="S2:S65" si="4">+H2</f>
        <v>0</v>
      </c>
      <c r="T2" s="156" t="str">
        <f>+VLOOKUP($L2,Data_Validation!$A:$D,1,0)</f>
        <v>10</v>
      </c>
      <c r="U2" s="156">
        <f>+VLOOKUP($L2,Data_Validation!$A:$D,3,0)</f>
        <v>0</v>
      </c>
      <c r="V2" s="156">
        <f>+VLOOKUP($L2,Data_Validation!$A:$D,4,0)</f>
        <v>0</v>
      </c>
      <c r="W2" s="156">
        <f>+VLOOKUP($L2,Data_Validation!$A:$E,5,0)</f>
        <v>0</v>
      </c>
      <c r="X2" s="156">
        <f>+VLOOKUP($L2,Data_Validation!$A:$F,6,0)</f>
        <v>0</v>
      </c>
    </row>
    <row r="3" spans="1:24" ht="15" hidden="1" customHeight="1">
      <c r="A3" s="1147" t="s">
        <v>2208</v>
      </c>
      <c r="B3" s="1147" t="s">
        <v>2209</v>
      </c>
      <c r="C3" s="1145"/>
      <c r="D3" s="1145"/>
      <c r="E3" s="1145"/>
      <c r="F3" s="1147" t="s">
        <v>1</v>
      </c>
      <c r="G3" s="1147" t="s">
        <v>2207</v>
      </c>
      <c r="H3" s="1145"/>
      <c r="I3" s="1149">
        <v>112899</v>
      </c>
      <c r="J3" s="1149">
        <v>0</v>
      </c>
      <c r="K3" s="1149">
        <v>112899</v>
      </c>
      <c r="L3" s="153" t="str">
        <f t="shared" si="0"/>
        <v>20</v>
      </c>
      <c r="M3" s="154" t="str">
        <f t="shared" si="1"/>
        <v>PROFIT/PERTES FEVRIER</v>
      </c>
      <c r="N3" s="155">
        <f>+IF(OR($Q3=Parametres!$G$2,$Q3=Parametres!$G$3),I3,C3)</f>
        <v>112899</v>
      </c>
      <c r="O3" s="1122">
        <f>+IF(OR($Q3=Parametres!$G$2,$Q3=Parametres!$G$3),J3,D3)</f>
        <v>0</v>
      </c>
      <c r="P3" s="155">
        <f>+IF(OR($Q3=Parametres!$G$2,$Q3=Parametres!$G$3),K3,E3)</f>
        <v>112899</v>
      </c>
      <c r="Q3" s="154" t="str">
        <f t="shared" si="2"/>
        <v>1-Mémo</v>
      </c>
      <c r="R3" s="153" t="str">
        <f t="shared" si="3"/>
        <v>1</v>
      </c>
      <c r="S3" s="154">
        <f t="shared" si="4"/>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147" t="s">
        <v>2210</v>
      </c>
      <c r="B4" s="1147" t="s">
        <v>2211</v>
      </c>
      <c r="C4" s="1145"/>
      <c r="D4" s="1145"/>
      <c r="E4" s="1145"/>
      <c r="F4" s="1147" t="s">
        <v>1</v>
      </c>
      <c r="G4" s="1147" t="s">
        <v>2207</v>
      </c>
      <c r="H4" s="1145"/>
      <c r="I4" s="1149">
        <v>227808</v>
      </c>
      <c r="J4" s="1149">
        <v>0</v>
      </c>
      <c r="K4" s="1149">
        <v>227808</v>
      </c>
      <c r="L4" s="153" t="str">
        <f t="shared" si="0"/>
        <v>30</v>
      </c>
      <c r="M4" s="154" t="str">
        <f t="shared" si="1"/>
        <v>PROFIT/PERTES MARS</v>
      </c>
      <c r="N4" s="155">
        <f>+IF(OR($Q4=Parametres!$G$2,$Q4=Parametres!$G$3),I4,C4)</f>
        <v>227808</v>
      </c>
      <c r="O4" s="1122">
        <f>+IF(OR($Q4=Parametres!$G$2,$Q4=Parametres!$G$3),J4,D4)</f>
        <v>0</v>
      </c>
      <c r="P4" s="155">
        <f>+IF(OR($Q4=Parametres!$G$2,$Q4=Parametres!$G$3),K4,E4)</f>
        <v>227808</v>
      </c>
      <c r="Q4" s="154" t="str">
        <f t="shared" si="2"/>
        <v>1-Mémo</v>
      </c>
      <c r="R4" s="153" t="str">
        <f t="shared" si="3"/>
        <v>1</v>
      </c>
      <c r="S4" s="154">
        <f t="shared" si="4"/>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147" t="s">
        <v>2212</v>
      </c>
      <c r="B5" s="1147" t="s">
        <v>2213</v>
      </c>
      <c r="C5" s="1145"/>
      <c r="D5" s="1145"/>
      <c r="E5" s="1145"/>
      <c r="F5" s="1147" t="s">
        <v>1</v>
      </c>
      <c r="G5" s="1147" t="s">
        <v>2207</v>
      </c>
      <c r="H5" s="1145"/>
      <c r="I5" s="1149">
        <v>187231.25</v>
      </c>
      <c r="J5" s="1149">
        <v>0</v>
      </c>
      <c r="K5" s="1149">
        <v>187231.25</v>
      </c>
      <c r="L5" s="153" t="str">
        <f t="shared" si="0"/>
        <v>40</v>
      </c>
      <c r="M5" s="154" t="str">
        <f t="shared" si="1"/>
        <v>PROFIT/PERTES AVRIL</v>
      </c>
      <c r="N5" s="155">
        <f>+IF(OR($Q5=Parametres!$G$2,$Q5=Parametres!$G$3),I5,C5)</f>
        <v>187231.25</v>
      </c>
      <c r="O5" s="1122">
        <f>+IF(OR($Q5=Parametres!$G$2,$Q5=Parametres!$G$3),J5,D5)</f>
        <v>0</v>
      </c>
      <c r="P5" s="155">
        <f>+IF(OR($Q5=Parametres!$G$2,$Q5=Parametres!$G$3),K5,E5)</f>
        <v>187231.25</v>
      </c>
      <c r="Q5" s="154" t="str">
        <f t="shared" si="2"/>
        <v>1-Mémo</v>
      </c>
      <c r="R5" s="153" t="str">
        <f t="shared" si="3"/>
        <v>1</v>
      </c>
      <c r="S5" s="154">
        <f t="shared" si="4"/>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147" t="s">
        <v>2214</v>
      </c>
      <c r="B6" s="1147" t="s">
        <v>2215</v>
      </c>
      <c r="C6" s="1145"/>
      <c r="D6" s="1145"/>
      <c r="E6" s="1145"/>
      <c r="F6" s="1147" t="s">
        <v>1</v>
      </c>
      <c r="G6" s="1147" t="s">
        <v>2207</v>
      </c>
      <c r="H6" s="1145"/>
      <c r="I6" s="1149">
        <v>281299</v>
      </c>
      <c r="J6" s="1149">
        <v>0</v>
      </c>
      <c r="K6" s="1149">
        <v>281299</v>
      </c>
      <c r="L6" s="153" t="str">
        <f t="shared" si="0"/>
        <v>50</v>
      </c>
      <c r="M6" s="154" t="str">
        <f t="shared" si="1"/>
        <v>PROFIT/PERTES MAI</v>
      </c>
      <c r="N6" s="155">
        <f>+IF(OR($Q6=Parametres!$G$2,$Q6=Parametres!$G$3),I6,C6)</f>
        <v>281299</v>
      </c>
      <c r="O6" s="1122">
        <f>+IF(OR($Q6=Parametres!$G$2,$Q6=Parametres!$G$3),J6,D6)</f>
        <v>0</v>
      </c>
      <c r="P6" s="155">
        <f>+IF(OR($Q6=Parametres!$G$2,$Q6=Parametres!$G$3),K6,E6)</f>
        <v>281299</v>
      </c>
      <c r="Q6" s="154" t="str">
        <f t="shared" si="2"/>
        <v>1-Mémo</v>
      </c>
      <c r="R6" s="153" t="str">
        <f t="shared" si="3"/>
        <v>1</v>
      </c>
      <c r="S6" s="154">
        <f t="shared" si="4"/>
        <v>0</v>
      </c>
      <c r="T6" s="156" t="str">
        <f>+VLOOKUP($L6,Data_Validation!$A:$D,1,0)</f>
        <v>50</v>
      </c>
      <c r="U6" s="156">
        <f>+VLOOKUP($L6,Data_Validation!$A:$D,3,0)</f>
        <v>0</v>
      </c>
      <c r="V6" s="156">
        <f>+VLOOKUP($L6,Data_Validation!$A:$D,4,0)</f>
        <v>0</v>
      </c>
      <c r="W6" s="156">
        <f>+VLOOKUP($L6,Data_Validation!$A:$E,5,0)</f>
        <v>0</v>
      </c>
      <c r="X6" s="156">
        <f>+VLOOKUP($L6,Data_Validation!$A:$F,6,0)</f>
        <v>0</v>
      </c>
    </row>
    <row r="7" spans="1:24" ht="15" hidden="1" customHeight="1">
      <c r="A7" s="1147" t="s">
        <v>2216</v>
      </c>
      <c r="B7" s="1147" t="s">
        <v>2217</v>
      </c>
      <c r="C7" s="1145"/>
      <c r="D7" s="1145"/>
      <c r="E7" s="1145"/>
      <c r="F7" s="1147" t="s">
        <v>1</v>
      </c>
      <c r="G7" s="1147" t="s">
        <v>2207</v>
      </c>
      <c r="H7" s="1145"/>
      <c r="I7" s="1149">
        <v>165432</v>
      </c>
      <c r="J7" s="1149">
        <v>0</v>
      </c>
      <c r="K7" s="1149">
        <v>165432</v>
      </c>
      <c r="L7" s="153" t="str">
        <f t="shared" si="0"/>
        <v>60</v>
      </c>
      <c r="M7" s="154" t="str">
        <f t="shared" si="1"/>
        <v>PROFIT/PERTES JUIN</v>
      </c>
      <c r="N7" s="155">
        <f>+IF(OR($Q7=Parametres!$G$2,$Q7=Parametres!$G$3),I7,C7)</f>
        <v>165432</v>
      </c>
      <c r="O7" s="1122">
        <f>+IF(OR($Q7=Parametres!$G$2,$Q7=Parametres!$G$3),J7,D7)</f>
        <v>0</v>
      </c>
      <c r="P7" s="155">
        <f>+IF(OR($Q7=Parametres!$G$2,$Q7=Parametres!$G$3),K7,E7)</f>
        <v>165432</v>
      </c>
      <c r="Q7" s="154" t="str">
        <f t="shared" si="2"/>
        <v>1-Mémo</v>
      </c>
      <c r="R7" s="153" t="str">
        <f t="shared" si="3"/>
        <v>1</v>
      </c>
      <c r="S7" s="154">
        <f t="shared" si="4"/>
        <v>0</v>
      </c>
      <c r="T7" s="156" t="str">
        <f>+VLOOKUP($L7,Data_Validation!$A:$D,1,0)</f>
        <v>60</v>
      </c>
      <c r="U7" s="156">
        <f>+VLOOKUP($L7,Data_Validation!$A:$D,3,0)</f>
        <v>0</v>
      </c>
      <c r="V7" s="156">
        <f>+VLOOKUP($L7,Data_Validation!$A:$D,4,0)</f>
        <v>0</v>
      </c>
      <c r="W7" s="156">
        <f>+VLOOKUP($L7,Data_Validation!$A:$E,5,0)</f>
        <v>0</v>
      </c>
      <c r="X7" s="156">
        <f>+VLOOKUP($L7,Data_Validation!$A:$F,6,0)</f>
        <v>0</v>
      </c>
    </row>
    <row r="8" spans="1:24" ht="15" hidden="1" customHeight="1">
      <c r="A8" s="1147" t="s">
        <v>2228</v>
      </c>
      <c r="B8" s="1147" t="s">
        <v>2229</v>
      </c>
      <c r="C8" s="1145"/>
      <c r="D8" s="1145"/>
      <c r="E8" s="1145"/>
      <c r="F8" s="1147" t="s">
        <v>1</v>
      </c>
      <c r="G8" s="1147" t="s">
        <v>2230</v>
      </c>
      <c r="H8" s="1145"/>
      <c r="I8" s="1149">
        <v>3.51</v>
      </c>
      <c r="J8" s="1149">
        <v>0</v>
      </c>
      <c r="K8" s="1149">
        <v>3.51</v>
      </c>
      <c r="L8" s="153" t="str">
        <f t="shared" si="0"/>
        <v>229</v>
      </c>
      <c r="M8" s="154" t="str">
        <f t="shared" si="1"/>
        <v>CUMUL. VIS. CARR. VW</v>
      </c>
      <c r="N8" s="155">
        <f>+IF(OR($Q8=Parametres!$G$2,$Q8=Parametres!$G$3),I8,C8)</f>
        <v>3.51</v>
      </c>
      <c r="O8" s="1122">
        <f>+IF(OR($Q8=Parametres!$G$2,$Q8=Parametres!$G$3),J8,D8)</f>
        <v>0</v>
      </c>
      <c r="P8" s="155">
        <f>+IF(OR($Q8=Parametres!$G$2,$Q8=Parametres!$G$3),K8,E8)</f>
        <v>3.51</v>
      </c>
      <c r="Q8" s="154" t="str">
        <f t="shared" si="2"/>
        <v>1-Mémo</v>
      </c>
      <c r="R8" s="153" t="str">
        <f t="shared" si="3"/>
        <v>23</v>
      </c>
      <c r="S8" s="154">
        <f t="shared" si="4"/>
        <v>0</v>
      </c>
      <c r="T8" s="156" t="str">
        <f>+VLOOKUP($L8,Data_Validation!$A:$D,1,0)</f>
        <v>229</v>
      </c>
      <c r="U8" s="156">
        <f>+VLOOKUP($L8,Data_Validation!$A:$D,3,0)</f>
        <v>0</v>
      </c>
      <c r="V8" s="156">
        <f>+VLOOKUP($L8,Data_Validation!$A:$D,4,0)</f>
        <v>0</v>
      </c>
      <c r="W8" s="156">
        <f>+VLOOKUP($L8,Data_Validation!$A:$E,5,0)</f>
        <v>0</v>
      </c>
      <c r="X8" s="156">
        <f>+VLOOKUP($L8,Data_Validation!$A:$F,6,0)</f>
        <v>0</v>
      </c>
    </row>
    <row r="9" spans="1:24" ht="15" hidden="1" customHeight="1">
      <c r="A9" s="1147" t="s">
        <v>2231</v>
      </c>
      <c r="B9" s="1147" t="s">
        <v>2232</v>
      </c>
      <c r="C9" s="1145"/>
      <c r="D9" s="1145"/>
      <c r="E9" s="1145"/>
      <c r="F9" s="1147" t="s">
        <v>1</v>
      </c>
      <c r="G9" s="1147" t="s">
        <v>2230</v>
      </c>
      <c r="H9" s="1145"/>
      <c r="I9" s="1149">
        <v>57.77</v>
      </c>
      <c r="J9" s="1149">
        <v>0</v>
      </c>
      <c r="K9" s="1149">
        <v>57.77</v>
      </c>
      <c r="L9" s="153" t="str">
        <f t="shared" si="0"/>
        <v>230</v>
      </c>
      <c r="M9" s="154" t="str">
        <f t="shared" si="1"/>
        <v>CUMUL. VIS. VEH. SERV. VW</v>
      </c>
      <c r="N9" s="155">
        <f>+IF(OR($Q9=Parametres!$G$2,$Q9=Parametres!$G$3),I9,C9)</f>
        <v>57.77</v>
      </c>
      <c r="O9" s="1120">
        <f>+IF(OR($Q9=Parametres!$G$2,$Q9=Parametres!$G$3),J9,D9)</f>
        <v>0</v>
      </c>
      <c r="P9" s="155">
        <f>+IF(OR($Q9=Parametres!$G$2,$Q9=Parametres!$G$3),K9,E9)</f>
        <v>57.77</v>
      </c>
      <c r="Q9" s="154" t="str">
        <f t="shared" si="2"/>
        <v>1-Mémo</v>
      </c>
      <c r="R9" s="153" t="str">
        <f t="shared" si="3"/>
        <v>23</v>
      </c>
      <c r="S9" s="154">
        <f t="shared" si="4"/>
        <v>0</v>
      </c>
      <c r="T9" s="156" t="str">
        <f>+VLOOKUP($L9,Data_Validation!$A:$D,1,0)</f>
        <v>230</v>
      </c>
      <c r="U9" s="156">
        <f>+VLOOKUP($L9,Data_Validation!$A:$D,3,0)</f>
        <v>0</v>
      </c>
      <c r="V9" s="156">
        <f>+VLOOKUP($L9,Data_Validation!$A:$D,4,0)</f>
        <v>0</v>
      </c>
      <c r="W9" s="156" t="str">
        <f>+VLOOKUP($L9,Data_Validation!$A:$E,5,0)</f>
        <v>$</v>
      </c>
      <c r="X9" s="156">
        <f>+VLOOKUP($L9,Data_Validation!$A:$F,6,0)</f>
        <v>0</v>
      </c>
    </row>
    <row r="10" spans="1:24" ht="15" hidden="1" customHeight="1">
      <c r="A10" s="1147" t="s">
        <v>2233</v>
      </c>
      <c r="B10" s="1147" t="s">
        <v>2234</v>
      </c>
      <c r="C10" s="1145"/>
      <c r="D10" s="1145"/>
      <c r="E10" s="1145"/>
      <c r="F10" s="1147" t="s">
        <v>1</v>
      </c>
      <c r="G10" s="1147" t="s">
        <v>2230</v>
      </c>
      <c r="H10" s="1145"/>
      <c r="I10" s="1149">
        <v>94.75</v>
      </c>
      <c r="J10" s="1149">
        <v>0</v>
      </c>
      <c r="K10" s="1149">
        <v>94.75</v>
      </c>
      <c r="L10" s="153" t="str">
        <f t="shared" si="0"/>
        <v>234</v>
      </c>
      <c r="M10" s="154" t="str">
        <f t="shared" si="1"/>
        <v>TOTAL HRES PROD. SERVICE</v>
      </c>
      <c r="N10" s="155">
        <f>+IF(OR($Q10=Parametres!$G$2,$Q10=Parametres!$G$3),I10,C10)</f>
        <v>94.75</v>
      </c>
      <c r="O10" s="1123">
        <f>+IF(OR($Q10=Parametres!$G$2,$Q10=Parametres!$G$3),J10,D10)</f>
        <v>0</v>
      </c>
      <c r="P10" s="155">
        <f>+IF(OR($Q10=Parametres!$G$2,$Q10=Parametres!$G$3),K10,E10)</f>
        <v>94.75</v>
      </c>
      <c r="Q10" s="154" t="str">
        <f t="shared" si="2"/>
        <v>1-Mémo</v>
      </c>
      <c r="R10" s="153" t="str">
        <f t="shared" si="3"/>
        <v>23</v>
      </c>
      <c r="S10" s="154">
        <f t="shared" si="4"/>
        <v>0</v>
      </c>
      <c r="T10" s="156" t="str">
        <f>+VLOOKUP($L10,Data_Validation!$A:$D,1,0)</f>
        <v>234</v>
      </c>
      <c r="U10" s="156">
        <f>+VLOOKUP($L10,Data_Validation!$A:$D,3,0)</f>
        <v>0</v>
      </c>
      <c r="V10" s="156">
        <f>+VLOOKUP($L10,Data_Validation!$A:$D,4,0)</f>
        <v>0</v>
      </c>
      <c r="W10" s="156">
        <f>+VLOOKUP($L10,Data_Validation!$A:$E,5,0)</f>
        <v>0</v>
      </c>
      <c r="X10" s="156">
        <f>+VLOOKUP($L10,Data_Validation!$A:$F,6,0)</f>
        <v>0</v>
      </c>
    </row>
    <row r="11" spans="1:24" ht="15" hidden="1" customHeight="1">
      <c r="A11" s="1147" t="s">
        <v>2235</v>
      </c>
      <c r="B11" s="1147" t="s">
        <v>2236</v>
      </c>
      <c r="C11" s="1145"/>
      <c r="D11" s="1145"/>
      <c r="E11" s="1145"/>
      <c r="F11" s="1147" t="s">
        <v>1</v>
      </c>
      <c r="G11" s="1147" t="s">
        <v>2230</v>
      </c>
      <c r="H11" s="1145"/>
      <c r="I11" s="1149">
        <v>95.53</v>
      </c>
      <c r="J11" s="1149">
        <v>0</v>
      </c>
      <c r="K11" s="1149">
        <v>95.53</v>
      </c>
      <c r="L11" s="153" t="str">
        <f t="shared" si="0"/>
        <v>236</v>
      </c>
      <c r="M11" s="154" t="str">
        <f t="shared" si="1"/>
        <v>HEURES VENDU VW - SERVICE</v>
      </c>
      <c r="N11" s="155">
        <f>+IF(OR($Q11=Parametres!$G$2,$Q11=Parametres!$G$3),I11,C11)</f>
        <v>95.53</v>
      </c>
      <c r="O11" s="1123">
        <f>+IF(OR($Q11=Parametres!$G$2,$Q11=Parametres!$G$3),J11,D11)</f>
        <v>0</v>
      </c>
      <c r="P11" s="155">
        <f>+IF(OR($Q11=Parametres!$G$2,$Q11=Parametres!$G$3),K11,E11)</f>
        <v>95.53</v>
      </c>
      <c r="Q11" s="154" t="str">
        <f t="shared" si="2"/>
        <v>1-Mémo</v>
      </c>
      <c r="R11" s="153" t="str">
        <f t="shared" si="3"/>
        <v>23</v>
      </c>
      <c r="S11" s="154">
        <f t="shared" si="4"/>
        <v>0</v>
      </c>
      <c r="T11" s="156" t="str">
        <f>+VLOOKUP($L11,Data_Validation!$A:$D,1,0)</f>
        <v>236</v>
      </c>
      <c r="U11" s="156">
        <f>+VLOOKUP($L11,Data_Validation!$A:$D,3,0)</f>
        <v>0</v>
      </c>
      <c r="V11" s="156">
        <f>+VLOOKUP($L11,Data_Validation!$A:$D,4,0)</f>
        <v>0</v>
      </c>
      <c r="W11" s="156">
        <f>+VLOOKUP($L11,Data_Validation!$A:$E,5,0)</f>
        <v>0</v>
      </c>
      <c r="X11" s="156">
        <f>+VLOOKUP($L11,Data_Validation!$A:$F,6,0)</f>
        <v>0</v>
      </c>
    </row>
    <row r="12" spans="1:24" ht="15" hidden="1" customHeight="1">
      <c r="A12" s="1147" t="s">
        <v>2237</v>
      </c>
      <c r="B12" s="1147" t="s">
        <v>2238</v>
      </c>
      <c r="C12" s="1145"/>
      <c r="D12" s="1145"/>
      <c r="E12" s="1145"/>
      <c r="F12" s="1147" t="s">
        <v>1</v>
      </c>
      <c r="G12" s="1147" t="s">
        <v>2230</v>
      </c>
      <c r="H12" s="1145"/>
      <c r="I12" s="1149">
        <v>101.97</v>
      </c>
      <c r="J12" s="1149">
        <v>0</v>
      </c>
      <c r="K12" s="1149">
        <v>101.97</v>
      </c>
      <c r="L12" s="153" t="str">
        <f t="shared" si="0"/>
        <v>238</v>
      </c>
      <c r="M12" s="154" t="str">
        <f t="shared" si="1"/>
        <v>TOT. HEURES DISP. SERVICE</v>
      </c>
      <c r="N12" s="155">
        <f>+IF(OR($Q12=Parametres!$G$2,$Q12=Parametres!$G$3),I12,C12)</f>
        <v>101.97</v>
      </c>
      <c r="O12" s="1122">
        <f>+IF(OR($Q12=Parametres!$G$2,$Q12=Parametres!$G$3),J12,D12)</f>
        <v>0</v>
      </c>
      <c r="P12" s="155">
        <f>+IF(OR($Q12=Parametres!$G$2,$Q12=Parametres!$G$3),K12,E12)</f>
        <v>101.97</v>
      </c>
      <c r="Q12" s="154" t="str">
        <f t="shared" si="2"/>
        <v>1-Mémo</v>
      </c>
      <c r="R12" s="153" t="str">
        <f t="shared" si="3"/>
        <v>23</v>
      </c>
      <c r="S12" s="154">
        <f t="shared" si="4"/>
        <v>0</v>
      </c>
      <c r="T12" s="156" t="str">
        <f>+VLOOKUP($L12,Data_Validation!$A:$D,1,0)</f>
        <v>238</v>
      </c>
      <c r="U12" s="156">
        <f>+VLOOKUP($L12,Data_Validation!$A:$D,3,0)</f>
        <v>0</v>
      </c>
      <c r="V12" s="156">
        <f>+VLOOKUP($L12,Data_Validation!$A:$D,4,0)</f>
        <v>0</v>
      </c>
      <c r="W12" s="156">
        <f>+VLOOKUP($L12,Data_Validation!$A:$E,5,0)</f>
        <v>0</v>
      </c>
      <c r="X12" s="156">
        <f>+VLOOKUP($L12,Data_Validation!$A:$F,6,0)</f>
        <v>0</v>
      </c>
    </row>
    <row r="13" spans="1:24" ht="15" hidden="1" customHeight="1">
      <c r="A13" s="1147" t="s">
        <v>2239</v>
      </c>
      <c r="B13" s="1147" t="s">
        <v>2240</v>
      </c>
      <c r="C13" s="1145"/>
      <c r="D13" s="1145"/>
      <c r="E13" s="1145"/>
      <c r="F13" s="1147" t="s">
        <v>1</v>
      </c>
      <c r="G13" s="1147" t="s">
        <v>2241</v>
      </c>
      <c r="H13" s="1145"/>
      <c r="I13" s="1149">
        <v>134.94999999999999</v>
      </c>
      <c r="J13" s="1149">
        <v>0</v>
      </c>
      <c r="K13" s="1149">
        <v>134.94999999999999</v>
      </c>
      <c r="L13" s="153" t="str">
        <f t="shared" si="0"/>
        <v>243</v>
      </c>
      <c r="M13" s="154" t="str">
        <f t="shared" si="1"/>
        <v>TAUX M/O CLIENT VW</v>
      </c>
      <c r="N13" s="155">
        <f>+IF(OR($Q13=Parametres!$G$2,$Q13=Parametres!$G$3),I13,C13)</f>
        <v>134.94999999999999</v>
      </c>
      <c r="O13" s="1122">
        <f>+IF(OR($Q13=Parametres!$G$2,$Q13=Parametres!$G$3),J13,D13)</f>
        <v>0</v>
      </c>
      <c r="P13" s="155">
        <f>+IF(OR($Q13=Parametres!$G$2,$Q13=Parametres!$G$3),K13,E13)</f>
        <v>134.94999999999999</v>
      </c>
      <c r="Q13" s="154" t="str">
        <f t="shared" si="2"/>
        <v>1-Mémo</v>
      </c>
      <c r="R13" s="153" t="str">
        <f t="shared" si="3"/>
        <v>24</v>
      </c>
      <c r="S13" s="154">
        <f t="shared" si="4"/>
        <v>0</v>
      </c>
      <c r="T13" s="156" t="str">
        <f>+VLOOKUP($L13,Data_Validation!$A:$D,1,0)</f>
        <v>243</v>
      </c>
      <c r="U13" s="156">
        <f>+VLOOKUP($L13,Data_Validation!$A:$D,3,0)</f>
        <v>0</v>
      </c>
      <c r="V13" s="156">
        <f>+VLOOKUP($L13,Data_Validation!$A:$D,4,0)</f>
        <v>0</v>
      </c>
      <c r="W13" s="156">
        <f>+VLOOKUP($L13,Data_Validation!$A:$E,5,0)</f>
        <v>0</v>
      </c>
      <c r="X13" s="156">
        <f>+VLOOKUP($L13,Data_Validation!$A:$F,6,0)</f>
        <v>0</v>
      </c>
    </row>
    <row r="14" spans="1:24" ht="15" hidden="1" customHeight="1">
      <c r="A14" s="1147" t="s">
        <v>2242</v>
      </c>
      <c r="B14" s="1147" t="s">
        <v>2243</v>
      </c>
      <c r="C14" s="1145"/>
      <c r="D14" s="1145"/>
      <c r="E14" s="1145"/>
      <c r="F14" s="1147" t="s">
        <v>1</v>
      </c>
      <c r="G14" s="1147" t="s">
        <v>2241</v>
      </c>
      <c r="H14" s="1145"/>
      <c r="I14" s="1149">
        <v>119.44</v>
      </c>
      <c r="J14" s="1149">
        <v>0</v>
      </c>
      <c r="K14" s="1149">
        <v>119.44</v>
      </c>
      <c r="L14" s="153" t="str">
        <f t="shared" si="0"/>
        <v>244</v>
      </c>
      <c r="M14" s="154" t="str">
        <f t="shared" si="1"/>
        <v>TAUX M/O GARANTIE VW</v>
      </c>
      <c r="N14" s="155">
        <f>+IF(OR($Q14=Parametres!$G$2,$Q14=Parametres!$G$3),I14,C14)</f>
        <v>119.44</v>
      </c>
      <c r="O14" s="1122">
        <f>+IF(OR($Q14=Parametres!$G$2,$Q14=Parametres!$G$3),J14,D14)</f>
        <v>0</v>
      </c>
      <c r="P14" s="155">
        <f>+IF(OR($Q14=Parametres!$G$2,$Q14=Parametres!$G$3),K14,E14)</f>
        <v>119.44</v>
      </c>
      <c r="Q14" s="154" t="str">
        <f t="shared" si="2"/>
        <v>1-Mémo</v>
      </c>
      <c r="R14" s="153" t="str">
        <f t="shared" si="3"/>
        <v>24</v>
      </c>
      <c r="S14" s="154">
        <f t="shared" si="4"/>
        <v>0</v>
      </c>
      <c r="T14" s="156" t="str">
        <f>+VLOOKUP($L14,Data_Validation!$A:$D,1,0)</f>
        <v>244</v>
      </c>
      <c r="U14" s="156">
        <f>+VLOOKUP($L14,Data_Validation!$A:$D,3,0)</f>
        <v>0</v>
      </c>
      <c r="V14" s="156">
        <f>+VLOOKUP($L14,Data_Validation!$A:$D,4,0)</f>
        <v>0</v>
      </c>
      <c r="W14" s="156">
        <f>+VLOOKUP($L14,Data_Validation!$A:$E,5,0)</f>
        <v>0</v>
      </c>
      <c r="X14" s="156">
        <f>+VLOOKUP($L14,Data_Validation!$A:$F,6,0)</f>
        <v>0</v>
      </c>
    </row>
    <row r="15" spans="1:24" ht="15" hidden="1" customHeight="1">
      <c r="A15" s="1147" t="s">
        <v>2244</v>
      </c>
      <c r="B15" s="1147" t="s">
        <v>2245</v>
      </c>
      <c r="C15" s="1145"/>
      <c r="D15" s="1145"/>
      <c r="E15" s="1145"/>
      <c r="F15" s="1147" t="s">
        <v>1</v>
      </c>
      <c r="G15" s="1147" t="s">
        <v>2241</v>
      </c>
      <c r="H15" s="1145"/>
      <c r="I15" s="1149">
        <v>134.94999999999999</v>
      </c>
      <c r="J15" s="1149">
        <v>0</v>
      </c>
      <c r="K15" s="1149">
        <v>134.94999999999999</v>
      </c>
      <c r="L15" s="153" t="str">
        <f t="shared" si="0"/>
        <v>245</v>
      </c>
      <c r="M15" s="154" t="str">
        <f t="shared" si="1"/>
        <v>TAUX M/O INTERNE VW</v>
      </c>
      <c r="N15" s="155">
        <f>+IF(OR($Q15=Parametres!$G$2,$Q15=Parametres!$G$3),I15,C15)</f>
        <v>134.94999999999999</v>
      </c>
      <c r="O15" s="1122">
        <f>+IF(OR($Q15=Parametres!$G$2,$Q15=Parametres!$G$3),J15,D15)</f>
        <v>0</v>
      </c>
      <c r="P15" s="155">
        <f>+IF(OR($Q15=Parametres!$G$2,$Q15=Parametres!$G$3),K15,E15)</f>
        <v>134.94999999999999</v>
      </c>
      <c r="Q15" s="154" t="str">
        <f t="shared" si="2"/>
        <v>1-Mémo</v>
      </c>
      <c r="R15" s="153" t="str">
        <f t="shared" si="3"/>
        <v>24</v>
      </c>
      <c r="S15" s="154">
        <f t="shared" si="4"/>
        <v>0</v>
      </c>
      <c r="T15" s="156" t="str">
        <f>+VLOOKUP($L15,Data_Validation!$A:$D,1,0)</f>
        <v>245</v>
      </c>
      <c r="U15" s="156">
        <f>+VLOOKUP($L15,Data_Validation!$A:$D,3,0)</f>
        <v>0</v>
      </c>
      <c r="V15" s="156">
        <f>+VLOOKUP($L15,Data_Validation!$A:$D,4,0)</f>
        <v>0</v>
      </c>
      <c r="W15" s="156">
        <f>+VLOOKUP($L15,Data_Validation!$A:$E,5,0)</f>
        <v>0</v>
      </c>
      <c r="X15" s="156">
        <f>+VLOOKUP($L15,Data_Validation!$A:$F,6,0)</f>
        <v>0</v>
      </c>
    </row>
    <row r="16" spans="1:24" ht="15" hidden="1" customHeight="1">
      <c r="A16" s="1147" t="s">
        <v>2246</v>
      </c>
      <c r="B16" s="1147" t="s">
        <v>2247</v>
      </c>
      <c r="C16" s="1145"/>
      <c r="D16" s="1145"/>
      <c r="E16" s="1145"/>
      <c r="F16" s="1147" t="s">
        <v>1</v>
      </c>
      <c r="G16" s="1147" t="s">
        <v>2241</v>
      </c>
      <c r="H16" s="1145"/>
      <c r="I16" s="1149">
        <v>60</v>
      </c>
      <c r="J16" s="1149">
        <v>0</v>
      </c>
      <c r="K16" s="1149">
        <v>60</v>
      </c>
      <c r="L16" s="153" t="str">
        <f t="shared" si="0"/>
        <v>246</v>
      </c>
      <c r="M16" s="154" t="str">
        <f t="shared" si="1"/>
        <v>TAUX M/O CARR. VW</v>
      </c>
      <c r="N16" s="155">
        <f>+IF(OR($Q16=Parametres!$G$2,$Q16=Parametres!$G$3),I16,C16)</f>
        <v>60</v>
      </c>
      <c r="O16" s="1122">
        <f>+IF(OR($Q16=Parametres!$G$2,$Q16=Parametres!$G$3),J16,D16)</f>
        <v>0</v>
      </c>
      <c r="P16" s="155">
        <f>+IF(OR($Q16=Parametres!$G$2,$Q16=Parametres!$G$3),K16,E16)</f>
        <v>60</v>
      </c>
      <c r="Q16" s="154" t="str">
        <f t="shared" si="2"/>
        <v>1-Mémo</v>
      </c>
      <c r="R16" s="153" t="str">
        <f t="shared" si="3"/>
        <v>24</v>
      </c>
      <c r="S16" s="154">
        <f t="shared" si="4"/>
        <v>0</v>
      </c>
      <c r="T16" s="156" t="str">
        <f>+VLOOKUP($L16,Data_Validation!$A:$D,1,0)</f>
        <v>246</v>
      </c>
      <c r="U16" s="156">
        <f>+VLOOKUP($L16,Data_Validation!$A:$D,3,0)</f>
        <v>0</v>
      </c>
      <c r="V16" s="156">
        <f>+VLOOKUP($L16,Data_Validation!$A:$D,4,0)</f>
        <v>0</v>
      </c>
      <c r="W16" s="156">
        <f>+VLOOKUP($L16,Data_Validation!$A:$E,5,0)</f>
        <v>0</v>
      </c>
      <c r="X16" s="156">
        <f>+VLOOKUP($L16,Data_Validation!$A:$F,6,0)</f>
        <v>0</v>
      </c>
    </row>
    <row r="17" spans="1:24" ht="15" hidden="1" customHeight="1">
      <c r="A17" s="1147" t="s">
        <v>2248</v>
      </c>
      <c r="B17" s="1147" t="s">
        <v>2249</v>
      </c>
      <c r="C17" s="1145"/>
      <c r="D17" s="1145"/>
      <c r="E17" s="1145"/>
      <c r="F17" s="1147" t="s">
        <v>1</v>
      </c>
      <c r="G17" s="1147" t="s">
        <v>2249</v>
      </c>
      <c r="H17" s="1145"/>
      <c r="I17" s="1149">
        <v>0.08</v>
      </c>
      <c r="J17" s="1149">
        <v>0</v>
      </c>
      <c r="K17" s="1149">
        <v>0.08</v>
      </c>
      <c r="L17" s="153" t="str">
        <f t="shared" si="0"/>
        <v>255</v>
      </c>
      <c r="M17" s="154" t="str">
        <f t="shared" si="1"/>
        <v>BAIES TRAVAIL PRODUCTIVES - SERVICE VW</v>
      </c>
      <c r="N17" s="155">
        <f>+IF(OR($Q17=Parametres!$G$2,$Q17=Parametres!$G$3),I17,C17)</f>
        <v>0.08</v>
      </c>
      <c r="O17" s="1122">
        <f>+IF(OR($Q17=Parametres!$G$2,$Q17=Parametres!$G$3),J17,D17)</f>
        <v>0</v>
      </c>
      <c r="P17" s="155">
        <f>+IF(OR($Q17=Parametres!$G$2,$Q17=Parametres!$G$3),K17,E17)</f>
        <v>0.08</v>
      </c>
      <c r="Q17" s="154" t="str">
        <f t="shared" si="2"/>
        <v>1-Mémo</v>
      </c>
      <c r="R17" s="153" t="str">
        <f t="shared" si="3"/>
        <v>255</v>
      </c>
      <c r="S17" s="154">
        <f t="shared" si="4"/>
        <v>0</v>
      </c>
      <c r="T17" s="156" t="str">
        <f>+VLOOKUP($L17,Data_Validation!$A:$D,1,0)</f>
        <v>255</v>
      </c>
      <c r="U17" s="156">
        <f>+VLOOKUP($L17,Data_Validation!$A:$D,3,0)</f>
        <v>0</v>
      </c>
      <c r="V17" s="156">
        <f>+VLOOKUP($L17,Data_Validation!$A:$D,4,0)</f>
        <v>0</v>
      </c>
      <c r="W17" s="156">
        <f>+VLOOKUP($L17,Data_Validation!$A:$E,5,0)</f>
        <v>0</v>
      </c>
      <c r="X17" s="156">
        <f>+VLOOKUP($L17,Data_Validation!$A:$F,6,0)</f>
        <v>0</v>
      </c>
    </row>
    <row r="18" spans="1:24" ht="15" hidden="1" customHeight="1">
      <c r="A18" s="1147" t="s">
        <v>2250</v>
      </c>
      <c r="B18" s="1147" t="s">
        <v>2251</v>
      </c>
      <c r="C18" s="1145"/>
      <c r="D18" s="1145"/>
      <c r="E18" s="1145"/>
      <c r="F18" s="1147" t="s">
        <v>1</v>
      </c>
      <c r="G18" s="1147" t="s">
        <v>2251</v>
      </c>
      <c r="H18" s="1145"/>
      <c r="I18" s="1149">
        <v>4005.49</v>
      </c>
      <c r="J18" s="1149">
        <v>0</v>
      </c>
      <c r="K18" s="1149">
        <v>4005.49</v>
      </c>
      <c r="L18" s="153" t="str">
        <f t="shared" si="0"/>
        <v>257</v>
      </c>
      <c r="M18" s="154" t="str">
        <f t="shared" si="1"/>
        <v>HEURES VENDUES - SERVICE - CLIENT VW</v>
      </c>
      <c r="N18" s="155">
        <f>+IF(OR($Q18=Parametres!$G$2,$Q18=Parametres!$G$3),I18,C18)</f>
        <v>4005.49</v>
      </c>
      <c r="O18" s="1122">
        <f>+IF(OR($Q18=Parametres!$G$2,$Q18=Parametres!$G$3),J18,D18)</f>
        <v>0</v>
      </c>
      <c r="P18" s="155">
        <f>+IF(OR($Q18=Parametres!$G$2,$Q18=Parametres!$G$3),K18,E18)</f>
        <v>4005.49</v>
      </c>
      <c r="Q18" s="154" t="str">
        <f t="shared" si="2"/>
        <v>1-Mémo</v>
      </c>
      <c r="R18" s="153" t="str">
        <f t="shared" si="3"/>
        <v>257</v>
      </c>
      <c r="S18" s="154">
        <f t="shared" si="4"/>
        <v>0</v>
      </c>
      <c r="T18" s="156" t="str">
        <f>+VLOOKUP($L18,Data_Validation!$A:$D,1,0)</f>
        <v>257</v>
      </c>
      <c r="U18" s="156">
        <f>+VLOOKUP($L18,Data_Validation!$A:$D,3,0)</f>
        <v>0</v>
      </c>
      <c r="V18" s="156">
        <f>+VLOOKUP($L18,Data_Validation!$A:$D,4,0)</f>
        <v>0</v>
      </c>
      <c r="W18" s="156">
        <f>+VLOOKUP($L18,Data_Validation!$A:$E,5,0)</f>
        <v>0</v>
      </c>
      <c r="X18" s="156">
        <f>+VLOOKUP($L18,Data_Validation!$A:$F,6,0)</f>
        <v>0</v>
      </c>
    </row>
    <row r="19" spans="1:24" ht="15" hidden="1" customHeight="1">
      <c r="A19" s="1147" t="s">
        <v>2252</v>
      </c>
      <c r="B19" s="1147" t="s">
        <v>2253</v>
      </c>
      <c r="C19" s="1145"/>
      <c r="D19" s="1145"/>
      <c r="E19" s="1145"/>
      <c r="F19" s="1147" t="s">
        <v>1</v>
      </c>
      <c r="G19" s="1147" t="s">
        <v>2251</v>
      </c>
      <c r="H19" s="1145"/>
      <c r="I19" s="1149">
        <v>2740.15</v>
      </c>
      <c r="J19" s="1149">
        <v>0</v>
      </c>
      <c r="K19" s="1149">
        <v>2740.15</v>
      </c>
      <c r="L19" s="153" t="str">
        <f t="shared" si="0"/>
        <v>258</v>
      </c>
      <c r="M19" s="154" t="str">
        <f t="shared" si="1"/>
        <v>HEURES VENDUES - SERVICE - GARANTIE VW</v>
      </c>
      <c r="N19" s="155">
        <f>+IF(OR($Q19=Parametres!$G$2,$Q19=Parametres!$G$3),I19,C19)</f>
        <v>2740.15</v>
      </c>
      <c r="O19" s="1120">
        <f>+IF(OR($Q19=Parametres!$G$2,$Q19=Parametres!$G$3),J19,D19)</f>
        <v>0</v>
      </c>
      <c r="P19" s="155">
        <f>+IF(OR($Q19=Parametres!$G$2,$Q19=Parametres!$G$3),K19,E19)</f>
        <v>2740.15</v>
      </c>
      <c r="Q19" s="154" t="str">
        <f t="shared" si="2"/>
        <v>1-Mémo</v>
      </c>
      <c r="R19" s="153" t="str">
        <f t="shared" si="3"/>
        <v>257</v>
      </c>
      <c r="S19" s="154">
        <f t="shared" si="4"/>
        <v>0</v>
      </c>
      <c r="T19" s="156" t="str">
        <f>+VLOOKUP($L19,Data_Validation!$A:$D,1,0)</f>
        <v>258</v>
      </c>
      <c r="U19" s="156">
        <f>+VLOOKUP($L19,Data_Validation!$A:$D,3,0)</f>
        <v>0</v>
      </c>
      <c r="V19" s="156">
        <f>+VLOOKUP($L19,Data_Validation!$A:$D,4,0)</f>
        <v>0</v>
      </c>
      <c r="W19" s="156">
        <f>+VLOOKUP($L19,Data_Validation!$A:$E,5,0)</f>
        <v>0</v>
      </c>
      <c r="X19" s="156">
        <f>+VLOOKUP($L19,Data_Validation!$A:$F,6,0)</f>
        <v>0</v>
      </c>
    </row>
    <row r="20" spans="1:24" ht="15" hidden="1" customHeight="1">
      <c r="A20" s="1147" t="s">
        <v>2254</v>
      </c>
      <c r="B20" s="1147" t="s">
        <v>2255</v>
      </c>
      <c r="C20" s="1145"/>
      <c r="D20" s="1145"/>
      <c r="E20" s="1145"/>
      <c r="F20" s="1147" t="s">
        <v>1</v>
      </c>
      <c r="G20" s="1147" t="s">
        <v>2251</v>
      </c>
      <c r="H20" s="1145"/>
      <c r="I20" s="1149">
        <v>2806.02</v>
      </c>
      <c r="J20" s="1149">
        <v>0</v>
      </c>
      <c r="K20" s="1149">
        <v>2806.02</v>
      </c>
      <c r="L20" s="153" t="str">
        <f t="shared" si="0"/>
        <v>259</v>
      </c>
      <c r="M20" s="154" t="str">
        <f t="shared" si="1"/>
        <v>HEURES VENDUES - SERVICE - INTERNE VW</v>
      </c>
      <c r="N20" s="155">
        <f>+IF(OR($Q20=Parametres!$G$2,$Q20=Parametres!$G$3),I20,C20)</f>
        <v>2806.02</v>
      </c>
      <c r="O20" s="1122">
        <f>+IF(OR($Q20=Parametres!$G$2,$Q20=Parametres!$G$3),J20,D20)</f>
        <v>0</v>
      </c>
      <c r="P20" s="155">
        <f>+IF(OR($Q20=Parametres!$G$2,$Q20=Parametres!$G$3),K20,E20)</f>
        <v>2806.02</v>
      </c>
      <c r="Q20" s="154" t="str">
        <f t="shared" si="2"/>
        <v>1-Mémo</v>
      </c>
      <c r="R20" s="153" t="str">
        <f t="shared" si="3"/>
        <v>257</v>
      </c>
      <c r="S20" s="154">
        <f t="shared" si="4"/>
        <v>0</v>
      </c>
      <c r="T20" s="156" t="str">
        <f>+VLOOKUP($L20,Data_Validation!$A:$D,1,0)</f>
        <v>259</v>
      </c>
      <c r="U20" s="156">
        <f>+VLOOKUP($L20,Data_Validation!$A:$D,3,0)</f>
        <v>0</v>
      </c>
      <c r="V20" s="156">
        <f>+VLOOKUP($L20,Data_Validation!$A:$D,4,0)</f>
        <v>0</v>
      </c>
      <c r="W20" s="156">
        <f>+VLOOKUP($L20,Data_Validation!$A:$E,5,0)</f>
        <v>0</v>
      </c>
      <c r="X20" s="156">
        <f>+VLOOKUP($L20,Data_Validation!$A:$F,6,0)</f>
        <v>0</v>
      </c>
    </row>
    <row r="21" spans="1:24" ht="15" hidden="1" customHeight="1">
      <c r="A21" s="1147" t="s">
        <v>2256</v>
      </c>
      <c r="B21" s="1147" t="s">
        <v>2257</v>
      </c>
      <c r="C21" s="1145"/>
      <c r="D21" s="1145"/>
      <c r="E21" s="1145"/>
      <c r="F21" s="1147" t="s">
        <v>1</v>
      </c>
      <c r="G21" s="1147" t="s">
        <v>2211</v>
      </c>
      <c r="H21" s="1145"/>
      <c r="I21" s="1149">
        <v>6189.2</v>
      </c>
      <c r="J21" s="1149">
        <v>0</v>
      </c>
      <c r="K21" s="1149">
        <v>6189.2</v>
      </c>
      <c r="L21" s="153" t="str">
        <f t="shared" si="0"/>
        <v>300</v>
      </c>
      <c r="M21" s="154" t="str">
        <f t="shared" si="1"/>
        <v>REC VEH PASSE DU 30-60</v>
      </c>
      <c r="N21" s="155">
        <f>+IF(OR($Q21=Parametres!$G$2,$Q21=Parametres!$G$3),I21,C21)</f>
        <v>6189.2</v>
      </c>
      <c r="O21" s="1122">
        <f>+IF(OR($Q21=Parametres!$G$2,$Q21=Parametres!$G$3),J21,D21)</f>
        <v>0</v>
      </c>
      <c r="P21" s="155">
        <f>+IF(OR($Q21=Parametres!$G$2,$Q21=Parametres!$G$3),K21,E21)</f>
        <v>6189.2</v>
      </c>
      <c r="Q21" s="154" t="str">
        <f t="shared" si="2"/>
        <v>1-Mémo</v>
      </c>
      <c r="R21" s="153" t="str">
        <f t="shared" si="3"/>
        <v>30</v>
      </c>
      <c r="S21" s="154">
        <f t="shared" si="4"/>
        <v>0</v>
      </c>
      <c r="T21" s="156" t="str">
        <f>+VLOOKUP($L21,Data_Validation!$A:$D,1,0)</f>
        <v>300</v>
      </c>
      <c r="U21" s="156">
        <f>+VLOOKUP($L21,Data_Validation!$A:$D,3,0)</f>
        <v>0</v>
      </c>
      <c r="V21" s="156">
        <f>+VLOOKUP($L21,Data_Validation!$A:$D,4,0)</f>
        <v>0</v>
      </c>
      <c r="W21" s="156">
        <f>+VLOOKUP($L21,Data_Validation!$A:$E,5,0)</f>
        <v>0</v>
      </c>
      <c r="X21" s="156">
        <f>+VLOOKUP($L21,Data_Validation!$A:$F,6,0)</f>
        <v>0</v>
      </c>
    </row>
    <row r="22" spans="1:24" ht="15" hidden="1" customHeight="1">
      <c r="A22" s="1147" t="s">
        <v>2258</v>
      </c>
      <c r="B22" s="1147" t="s">
        <v>2259</v>
      </c>
      <c r="C22" s="1145"/>
      <c r="D22" s="1145"/>
      <c r="E22" s="1145"/>
      <c r="F22" s="1147" t="s">
        <v>1</v>
      </c>
      <c r="G22" s="1147" t="s">
        <v>2211</v>
      </c>
      <c r="H22" s="1145"/>
      <c r="I22" s="1149">
        <v>76401.02</v>
      </c>
      <c r="J22" s="1149">
        <v>0</v>
      </c>
      <c r="K22" s="1149">
        <v>76401.02</v>
      </c>
      <c r="L22" s="153" t="str">
        <f t="shared" si="0"/>
        <v>301</v>
      </c>
      <c r="M22" s="154" t="str">
        <f t="shared" si="1"/>
        <v>CLIENT S P ET A PASSE DU 30-60</v>
      </c>
      <c r="N22" s="155">
        <f>+IF(OR($Q22=Parametres!$G$2,$Q22=Parametres!$G$3),I22,C22)</f>
        <v>76401.02</v>
      </c>
      <c r="O22" s="1122">
        <f>+IF(OR($Q22=Parametres!$G$2,$Q22=Parametres!$G$3),J22,D22)</f>
        <v>0</v>
      </c>
      <c r="P22" s="155">
        <f>+IF(OR($Q22=Parametres!$G$2,$Q22=Parametres!$G$3),K22,E22)</f>
        <v>76401.02</v>
      </c>
      <c r="Q22" s="154" t="str">
        <f t="shared" si="2"/>
        <v>1-Mémo</v>
      </c>
      <c r="R22" s="153" t="str">
        <f t="shared" si="3"/>
        <v>30</v>
      </c>
      <c r="S22" s="154">
        <f t="shared" si="4"/>
        <v>0</v>
      </c>
      <c r="T22" s="156" t="str">
        <f>+VLOOKUP($L22,Data_Validation!$A:$D,1,0)</f>
        <v>301</v>
      </c>
      <c r="U22" s="156">
        <f>+VLOOKUP($L22,Data_Validation!$A:$D,3,0)</f>
        <v>0</v>
      </c>
      <c r="V22" s="156">
        <f>+VLOOKUP($L22,Data_Validation!$A:$D,4,0)</f>
        <v>0</v>
      </c>
      <c r="W22" s="156">
        <f>+VLOOKUP($L22,Data_Validation!$A:$E,5,0)</f>
        <v>0</v>
      </c>
      <c r="X22" s="156">
        <f>+VLOOKUP($L22,Data_Validation!$A:$F,6,0)</f>
        <v>0</v>
      </c>
    </row>
    <row r="23" spans="1:24" ht="15" hidden="1" customHeight="1">
      <c r="A23" s="1147" t="s">
        <v>2260</v>
      </c>
      <c r="B23" s="1147" t="s">
        <v>2261</v>
      </c>
      <c r="C23" s="1145"/>
      <c r="D23" s="1145"/>
      <c r="E23" s="1145"/>
      <c r="F23" s="1147" t="s">
        <v>1</v>
      </c>
      <c r="G23" s="1147" t="s">
        <v>2211</v>
      </c>
      <c r="H23" s="1145"/>
      <c r="I23" s="1149">
        <v>56506.83</v>
      </c>
      <c r="J23" s="1149">
        <v>0</v>
      </c>
      <c r="K23" s="1149">
        <v>56506.83</v>
      </c>
      <c r="L23" s="153" t="str">
        <f t="shared" si="0"/>
        <v>302</v>
      </c>
      <c r="M23" s="154" t="str">
        <f t="shared" si="1"/>
        <v>RECLAM GARANTIE VW PASSE DU 30-60</v>
      </c>
      <c r="N23" s="155">
        <f>+IF(OR($Q23=Parametres!$G$2,$Q23=Parametres!$G$3),I23,C23)</f>
        <v>56506.83</v>
      </c>
      <c r="O23" s="1122">
        <f>+IF(OR($Q23=Parametres!$G$2,$Q23=Parametres!$G$3),J23,D23)</f>
        <v>0</v>
      </c>
      <c r="P23" s="155">
        <f>+IF(OR($Q23=Parametres!$G$2,$Q23=Parametres!$G$3),K23,E23)</f>
        <v>56506.83</v>
      </c>
      <c r="Q23" s="154" t="str">
        <f t="shared" si="2"/>
        <v>1-Mémo</v>
      </c>
      <c r="R23" s="153" t="str">
        <f t="shared" si="3"/>
        <v>30</v>
      </c>
      <c r="S23" s="154">
        <f t="shared" si="4"/>
        <v>0</v>
      </c>
      <c r="T23" s="156" t="str">
        <f>+VLOOKUP($L23,Data_Validation!$A:$D,1,0)</f>
        <v>302</v>
      </c>
      <c r="U23" s="156">
        <f>+VLOOKUP($L23,Data_Validation!$A:$D,3,0)</f>
        <v>0</v>
      </c>
      <c r="V23" s="156">
        <f>+VLOOKUP($L23,Data_Validation!$A:$D,4,0)</f>
        <v>0</v>
      </c>
      <c r="W23" s="156">
        <f>+VLOOKUP($L23,Data_Validation!$A:$E,5,0)</f>
        <v>0</v>
      </c>
      <c r="X23" s="156">
        <f>+VLOOKUP($L23,Data_Validation!$A:$F,6,0)</f>
        <v>0</v>
      </c>
    </row>
    <row r="24" spans="1:24" ht="15" hidden="1" customHeight="1">
      <c r="A24" s="1147" t="s">
        <v>2262</v>
      </c>
      <c r="B24" s="1147" t="s">
        <v>2263</v>
      </c>
      <c r="C24" s="1145"/>
      <c r="D24" s="1145"/>
      <c r="E24" s="1145"/>
      <c r="F24" s="1147" t="s">
        <v>1</v>
      </c>
      <c r="G24" s="1147" t="s">
        <v>2211</v>
      </c>
      <c r="H24" s="1145"/>
      <c r="I24" s="1149">
        <v>85139.69</v>
      </c>
      <c r="J24" s="1149">
        <v>0</v>
      </c>
      <c r="K24" s="1149">
        <v>85139.69</v>
      </c>
      <c r="L24" s="153" t="str">
        <f t="shared" si="0"/>
        <v>307</v>
      </c>
      <c r="M24" s="154" t="str">
        <f t="shared" si="1"/>
        <v>AUTRE REC MANUFACTURIER VW PASSE DU 30-60</v>
      </c>
      <c r="N24" s="155">
        <f>+IF(OR($Q24=Parametres!$G$2,$Q24=Parametres!$G$3),I24,C24)</f>
        <v>85139.69</v>
      </c>
      <c r="O24" s="1122">
        <f>+IF(OR($Q24=Parametres!$G$2,$Q24=Parametres!$G$3),J24,D24)</f>
        <v>0</v>
      </c>
      <c r="P24" s="155">
        <f>+IF(OR($Q24=Parametres!$G$2,$Q24=Parametres!$G$3),K24,E24)</f>
        <v>85139.69</v>
      </c>
      <c r="Q24" s="154" t="str">
        <f t="shared" si="2"/>
        <v>1-Mémo</v>
      </c>
      <c r="R24" s="153" t="str">
        <f t="shared" si="3"/>
        <v>30</v>
      </c>
      <c r="S24" s="154">
        <f t="shared" si="4"/>
        <v>0</v>
      </c>
      <c r="T24" s="156" t="str">
        <f>+VLOOKUP($L24,Data_Validation!$A:$D,1,0)</f>
        <v>307</v>
      </c>
      <c r="U24" s="156">
        <f>+VLOOKUP($L24,Data_Validation!$A:$D,3,0)</f>
        <v>0</v>
      </c>
      <c r="V24" s="156">
        <f>+VLOOKUP($L24,Data_Validation!$A:$D,4,0)</f>
        <v>0</v>
      </c>
      <c r="W24" s="156">
        <f>+VLOOKUP($L24,Data_Validation!$A:$E,5,0)</f>
        <v>0</v>
      </c>
      <c r="X24" s="156">
        <f>+VLOOKUP($L24,Data_Validation!$A:$F,6,0)</f>
        <v>0</v>
      </c>
    </row>
    <row r="25" spans="1:24" ht="15" hidden="1" customHeight="1">
      <c r="A25" s="1147" t="s">
        <v>2264</v>
      </c>
      <c r="B25" s="1147" t="s">
        <v>2265</v>
      </c>
      <c r="C25" s="1145"/>
      <c r="D25" s="1145"/>
      <c r="E25" s="1145"/>
      <c r="F25" s="1147" t="s">
        <v>1</v>
      </c>
      <c r="G25" s="1147" t="s">
        <v>2266</v>
      </c>
      <c r="H25" s="1145"/>
      <c r="I25" s="1149">
        <v>2704.9</v>
      </c>
      <c r="J25" s="1149">
        <v>0</v>
      </c>
      <c r="K25" s="1149">
        <v>2704.9</v>
      </c>
      <c r="L25" s="153" t="str">
        <f t="shared" si="0"/>
        <v>311</v>
      </c>
      <c r="M25" s="154" t="str">
        <f t="shared" si="1"/>
        <v>CLIENT VEH PLUS DE 60</v>
      </c>
      <c r="N25" s="155">
        <f>+IF(OR($Q25=Parametres!$G$2,$Q25=Parametres!$G$3),I25,C25)</f>
        <v>2704.9</v>
      </c>
      <c r="O25" s="1122">
        <f>+IF(OR($Q25=Parametres!$G$2,$Q25=Parametres!$G$3),J25,D25)</f>
        <v>0</v>
      </c>
      <c r="P25" s="155">
        <f>+IF(OR($Q25=Parametres!$G$2,$Q25=Parametres!$G$3),K25,E25)</f>
        <v>2704.9</v>
      </c>
      <c r="Q25" s="154" t="str">
        <f t="shared" si="2"/>
        <v>1-Mémo</v>
      </c>
      <c r="R25" s="153" t="str">
        <f t="shared" si="3"/>
        <v>31</v>
      </c>
      <c r="S25" s="154">
        <f t="shared" si="4"/>
        <v>0</v>
      </c>
      <c r="T25" s="156" t="str">
        <f>+VLOOKUP($L25,Data_Validation!$A:$D,1,0)</f>
        <v>311</v>
      </c>
      <c r="U25" s="156">
        <f>+VLOOKUP($L25,Data_Validation!$A:$D,3,0)</f>
        <v>0</v>
      </c>
      <c r="V25" s="156">
        <f>+VLOOKUP($L25,Data_Validation!$A:$D,4,0)</f>
        <v>0</v>
      </c>
      <c r="W25" s="156">
        <f>+VLOOKUP($L25,Data_Validation!$A:$E,5,0)</f>
        <v>0</v>
      </c>
      <c r="X25" s="156">
        <f>+VLOOKUP($L25,Data_Validation!$A:$F,6,0)</f>
        <v>0</v>
      </c>
    </row>
    <row r="26" spans="1:24" ht="15.75" hidden="1" customHeight="1">
      <c r="A26" s="1147" t="s">
        <v>2267</v>
      </c>
      <c r="B26" s="1147" t="s">
        <v>2268</v>
      </c>
      <c r="C26" s="1145"/>
      <c r="D26" s="1145"/>
      <c r="E26" s="1145"/>
      <c r="F26" s="1147" t="s">
        <v>1</v>
      </c>
      <c r="G26" s="1147" t="s">
        <v>2266</v>
      </c>
      <c r="H26" s="1145"/>
      <c r="I26" s="1149">
        <v>-21772.73</v>
      </c>
      <c r="J26" s="1149">
        <v>0</v>
      </c>
      <c r="K26" s="1149">
        <v>-21772.73</v>
      </c>
      <c r="L26" s="153" t="str">
        <f t="shared" si="0"/>
        <v>312</v>
      </c>
      <c r="M26" s="154" t="str">
        <f t="shared" si="1"/>
        <v>CLIENT S P ET A PLUS DE 60</v>
      </c>
      <c r="N26" s="155">
        <f>+IF(OR($Q26=Parametres!$G$2,$Q26=Parametres!$G$3),I26,C26)</f>
        <v>-21772.73</v>
      </c>
      <c r="O26" s="1122">
        <f>+IF(OR($Q26=Parametres!$G$2,$Q26=Parametres!$G$3),J26,D26)</f>
        <v>0</v>
      </c>
      <c r="P26" s="155">
        <f>+IF(OR($Q26=Parametres!$G$2,$Q26=Parametres!$G$3),K26,E26)</f>
        <v>-21772.73</v>
      </c>
      <c r="Q26" s="154" t="str">
        <f t="shared" si="2"/>
        <v>1-Mémo</v>
      </c>
      <c r="R26" s="153" t="str">
        <f t="shared" si="3"/>
        <v>31</v>
      </c>
      <c r="S26" s="154">
        <f t="shared" si="4"/>
        <v>0</v>
      </c>
      <c r="T26" s="156" t="str">
        <f>+VLOOKUP($L26,Data_Validation!$A:$D,1,0)</f>
        <v>312</v>
      </c>
      <c r="U26" s="156">
        <f>+VLOOKUP($L26,Data_Validation!$A:$D,3,0)</f>
        <v>0</v>
      </c>
      <c r="V26" s="156">
        <f>+VLOOKUP($L26,Data_Validation!$A:$D,4,0)</f>
        <v>0</v>
      </c>
      <c r="W26" s="156">
        <f>+VLOOKUP($L26,Data_Validation!$A:$E,5,0)</f>
        <v>0</v>
      </c>
      <c r="X26" s="156">
        <f>+VLOOKUP($L26,Data_Validation!$A:$F,6,0)</f>
        <v>0</v>
      </c>
    </row>
    <row r="27" spans="1:24" ht="15" hidden="1" customHeight="1">
      <c r="A27" s="1147" t="s">
        <v>2269</v>
      </c>
      <c r="B27" s="1147" t="s">
        <v>2270</v>
      </c>
      <c r="C27" s="1145"/>
      <c r="D27" s="1145"/>
      <c r="E27" s="1145"/>
      <c r="F27" s="1147" t="s">
        <v>1</v>
      </c>
      <c r="G27" s="1147" t="s">
        <v>2266</v>
      </c>
      <c r="H27" s="1145"/>
      <c r="I27" s="1149">
        <v>73093.5</v>
      </c>
      <c r="J27" s="1149">
        <v>0</v>
      </c>
      <c r="K27" s="1149">
        <v>73093.5</v>
      </c>
      <c r="L27" s="153" t="str">
        <f t="shared" si="0"/>
        <v>313</v>
      </c>
      <c r="M27" s="154" t="str">
        <f t="shared" si="1"/>
        <v>RECLAMATIONS DE GARATIE VW PLUS DE 60</v>
      </c>
      <c r="N27" s="155">
        <f>+IF(OR($Q27=Parametres!$G$2,$Q27=Parametres!$G$3),I27,C27)</f>
        <v>73093.5</v>
      </c>
      <c r="O27" s="1122">
        <f>+IF(OR($Q27=Parametres!$G$2,$Q27=Parametres!$G$3),J27,D27)</f>
        <v>0</v>
      </c>
      <c r="P27" s="155">
        <f>+IF(OR($Q27=Parametres!$G$2,$Q27=Parametres!$G$3),K27,E27)</f>
        <v>73093.5</v>
      </c>
      <c r="Q27" s="154" t="str">
        <f t="shared" si="2"/>
        <v>1-Mémo</v>
      </c>
      <c r="R27" s="153" t="str">
        <f t="shared" si="3"/>
        <v>31</v>
      </c>
      <c r="S27" s="154">
        <f t="shared" si="4"/>
        <v>0</v>
      </c>
      <c r="T27" s="156" t="str">
        <f>+VLOOKUP($L27,Data_Validation!$A:$D,1,0)</f>
        <v>313</v>
      </c>
      <c r="U27" s="156">
        <f>+VLOOKUP($L27,Data_Validation!$A:$D,3,0)</f>
        <v>0</v>
      </c>
      <c r="V27" s="156">
        <f>+VLOOKUP($L27,Data_Validation!$A:$D,4,0)</f>
        <v>0</v>
      </c>
      <c r="W27" s="156">
        <f>+VLOOKUP($L27,Data_Validation!$A:$E,5,0)</f>
        <v>0</v>
      </c>
      <c r="X27" s="156">
        <f>+VLOOKUP($L27,Data_Validation!$A:$F,6,0)</f>
        <v>0</v>
      </c>
    </row>
    <row r="28" spans="1:24" ht="15" hidden="1" customHeight="1">
      <c r="A28" s="1147" t="s">
        <v>2271</v>
      </c>
      <c r="B28" s="1147" t="s">
        <v>2272</v>
      </c>
      <c r="C28" s="1145"/>
      <c r="D28" s="1145"/>
      <c r="E28" s="1145"/>
      <c r="F28" s="1147" t="s">
        <v>1</v>
      </c>
      <c r="G28" s="1147" t="s">
        <v>2266</v>
      </c>
      <c r="H28" s="1145"/>
      <c r="I28" s="1149">
        <v>11980.51</v>
      </c>
      <c r="J28" s="1149">
        <v>0</v>
      </c>
      <c r="K28" s="1149">
        <v>11980.51</v>
      </c>
      <c r="L28" s="153" t="str">
        <f t="shared" si="0"/>
        <v>316</v>
      </c>
      <c r="M28" s="154" t="str">
        <f t="shared" si="1"/>
        <v>AUTRE REC MANUFACTURIER VW PLUS DE 60</v>
      </c>
      <c r="N28" s="155">
        <f>+IF(OR($Q28=Parametres!$G$2,$Q28=Parametres!$G$3),I28,C28)</f>
        <v>11980.51</v>
      </c>
      <c r="O28" s="1122">
        <f>+IF(OR($Q28=Parametres!$G$2,$Q28=Parametres!$G$3),J28,D28)</f>
        <v>0</v>
      </c>
      <c r="P28" s="155">
        <f>+IF(OR($Q28=Parametres!$G$2,$Q28=Parametres!$G$3),K28,E28)</f>
        <v>11980.51</v>
      </c>
      <c r="Q28" s="154" t="str">
        <f t="shared" si="2"/>
        <v>1-Mémo</v>
      </c>
      <c r="R28" s="153" t="str">
        <f t="shared" si="3"/>
        <v>31</v>
      </c>
      <c r="S28" s="154">
        <f t="shared" si="4"/>
        <v>0</v>
      </c>
      <c r="T28" s="156" t="str">
        <f>+VLOOKUP($L28,Data_Validation!$A:$D,1,0)</f>
        <v>316</v>
      </c>
      <c r="U28" s="156">
        <f>+VLOOKUP($L28,Data_Validation!$A:$D,3,0)</f>
        <v>0</v>
      </c>
      <c r="V28" s="156">
        <f>+VLOOKUP($L28,Data_Validation!$A:$D,4,0)</f>
        <v>0</v>
      </c>
      <c r="W28" s="156">
        <f>+VLOOKUP($L28,Data_Validation!$A:$E,5,0)</f>
        <v>0</v>
      </c>
      <c r="X28" s="156">
        <f>+VLOOKUP($L28,Data_Validation!$A:$F,6,0)</f>
        <v>0</v>
      </c>
    </row>
    <row r="29" spans="1:24" ht="15" hidden="1" customHeight="1">
      <c r="A29" s="1147" t="s">
        <v>2273</v>
      </c>
      <c r="B29" s="1147" t="s">
        <v>2274</v>
      </c>
      <c r="C29" s="1145"/>
      <c r="D29" s="1145"/>
      <c r="E29" s="1145"/>
      <c r="F29" s="1147" t="s">
        <v>1</v>
      </c>
      <c r="G29" s="1147" t="s">
        <v>2275</v>
      </c>
      <c r="H29" s="1145"/>
      <c r="I29" s="1149">
        <v>0.56000000000000005</v>
      </c>
      <c r="J29" s="1149">
        <v>0</v>
      </c>
      <c r="K29" s="1149">
        <v>0.56000000000000005</v>
      </c>
      <c r="L29" s="153" t="str">
        <f t="shared" si="0"/>
        <v>350</v>
      </c>
      <c r="M29" s="154" t="str">
        <f t="shared" si="1"/>
        <v>UNITES USAGES +30JRS</v>
      </c>
      <c r="N29" s="155">
        <f>+IF(OR($Q29=Parametres!$G$2,$Q29=Parametres!$G$3),I29,C29)</f>
        <v>0.56000000000000005</v>
      </c>
      <c r="O29" s="1122">
        <f>+IF(OR($Q29=Parametres!$G$2,$Q29=Parametres!$G$3),J29,D29)</f>
        <v>0</v>
      </c>
      <c r="P29" s="155">
        <f>+IF(OR($Q29=Parametres!$G$2,$Q29=Parametres!$G$3),K29,E29)</f>
        <v>0.56000000000000005</v>
      </c>
      <c r="Q29" s="154" t="str">
        <f t="shared" si="2"/>
        <v>1-Mémo</v>
      </c>
      <c r="R29" s="153" t="str">
        <f t="shared" si="3"/>
        <v>35</v>
      </c>
      <c r="S29" s="154">
        <f t="shared" si="4"/>
        <v>0</v>
      </c>
      <c r="T29" s="156" t="str">
        <f>+VLOOKUP($L29,Data_Validation!$A:$D,1,0)</f>
        <v>350</v>
      </c>
      <c r="U29" s="156">
        <f>+VLOOKUP($L29,Data_Validation!$A:$D,3,0)</f>
        <v>0</v>
      </c>
      <c r="V29" s="156">
        <f>+VLOOKUP($L29,Data_Validation!$A:$D,4,0)</f>
        <v>0</v>
      </c>
      <c r="W29" s="156">
        <f>+VLOOKUP($L29,Data_Validation!$A:$E,5,0)</f>
        <v>0</v>
      </c>
      <c r="X29" s="156">
        <f>+VLOOKUP($L29,Data_Validation!$A:$F,6,0)</f>
        <v>0</v>
      </c>
    </row>
    <row r="30" spans="1:24" ht="15" hidden="1" customHeight="1">
      <c r="A30" s="1147" t="s">
        <v>2276</v>
      </c>
      <c r="B30" s="1147" t="s">
        <v>2277</v>
      </c>
      <c r="C30" s="1145"/>
      <c r="D30" s="1145"/>
      <c r="E30" s="1145"/>
      <c r="F30" s="1147" t="s">
        <v>1</v>
      </c>
      <c r="G30" s="1147" t="s">
        <v>2278</v>
      </c>
      <c r="H30" s="1145"/>
      <c r="I30" s="1149">
        <v>1027829.83</v>
      </c>
      <c r="J30" s="1149">
        <v>0</v>
      </c>
      <c r="K30" s="1149">
        <v>1027829.83</v>
      </c>
      <c r="L30" s="153" t="str">
        <f t="shared" si="0"/>
        <v>360</v>
      </c>
      <c r="M30" s="154" t="str">
        <f t="shared" si="1"/>
        <v>OCCASION VW + 60 JRS</v>
      </c>
      <c r="N30" s="155">
        <f>+IF(OR($Q30=Parametres!$G$2,$Q30=Parametres!$G$3),I30,C30)</f>
        <v>1027829.83</v>
      </c>
      <c r="O30" s="1120">
        <f>+IF(OR($Q30=Parametres!$G$2,$Q30=Parametres!$G$3),J30,D30)</f>
        <v>0</v>
      </c>
      <c r="P30" s="155">
        <f>+IF(OR($Q30=Parametres!$G$2,$Q30=Parametres!$G$3),K30,E30)</f>
        <v>1027829.83</v>
      </c>
      <c r="Q30" s="154" t="str">
        <f t="shared" si="2"/>
        <v>1-Mémo</v>
      </c>
      <c r="R30" s="153" t="str">
        <f t="shared" si="3"/>
        <v>36</v>
      </c>
      <c r="S30" s="154">
        <f t="shared" si="4"/>
        <v>0</v>
      </c>
      <c r="T30" s="156" t="str">
        <f>+VLOOKUP($L30,Data_Validation!$A:$D,1,0)</f>
        <v>360</v>
      </c>
      <c r="U30" s="156">
        <f>+VLOOKUP($L30,Data_Validation!$A:$D,3,0)</f>
        <v>0</v>
      </c>
      <c r="V30" s="156">
        <f>+VLOOKUP($L30,Data_Validation!$A:$D,4,0)</f>
        <v>0</v>
      </c>
      <c r="W30" s="156">
        <f>+VLOOKUP($L30,Data_Validation!$A:$E,5,0)</f>
        <v>0</v>
      </c>
      <c r="X30" s="156">
        <f>+VLOOKUP($L30,Data_Validation!$A:$F,6,0)</f>
        <v>0</v>
      </c>
    </row>
    <row r="31" spans="1:24" ht="15" hidden="1" customHeight="1">
      <c r="A31" s="1147" t="s">
        <v>2279</v>
      </c>
      <c r="B31" s="1147" t="s">
        <v>2280</v>
      </c>
      <c r="C31" s="1145"/>
      <c r="D31" s="1145"/>
      <c r="E31" s="1145"/>
      <c r="F31" s="1147" t="s">
        <v>1</v>
      </c>
      <c r="G31" s="1147" t="s">
        <v>2904</v>
      </c>
      <c r="H31" s="1145"/>
      <c r="I31" s="1149">
        <v>425000</v>
      </c>
      <c r="J31" s="1149">
        <v>0</v>
      </c>
      <c r="K31" s="1149">
        <v>425000</v>
      </c>
      <c r="L31" s="153" t="str">
        <f t="shared" si="0"/>
        <v>370</v>
      </c>
      <c r="M31" s="154" t="str">
        <f t="shared" si="1"/>
        <v>AVOIR DU PROP. MIM. REQUIS</v>
      </c>
      <c r="N31" s="155">
        <f>+IF(OR($Q31=Parametres!$G$2,$Q31=Parametres!$G$3),I31,C31)</f>
        <v>425000</v>
      </c>
      <c r="O31" s="1122">
        <f>+IF(OR($Q31=Parametres!$G$2,$Q31=Parametres!$G$3),J31,D31)</f>
        <v>0</v>
      </c>
      <c r="P31" s="155">
        <f>+IF(OR($Q31=Parametres!$G$2,$Q31=Parametres!$G$3),K31,E31)</f>
        <v>425000</v>
      </c>
      <c r="Q31" s="154" t="str">
        <f t="shared" si="2"/>
        <v>1-Mémo</v>
      </c>
      <c r="R31" s="153" t="str">
        <f t="shared" si="3"/>
        <v>37</v>
      </c>
      <c r="S31" s="154">
        <f t="shared" si="4"/>
        <v>0</v>
      </c>
      <c r="T31" s="156" t="str">
        <f>+VLOOKUP($L31,Data_Validation!$A:$D,1,0)</f>
        <v>370</v>
      </c>
      <c r="U31" s="156">
        <f>+VLOOKUP($L31,Data_Validation!$A:$D,3,0)</f>
        <v>0</v>
      </c>
      <c r="V31" s="156">
        <f>+VLOOKUP($L31,Data_Validation!$A:$D,4,0)</f>
        <v>0</v>
      </c>
      <c r="W31" s="156">
        <f>+VLOOKUP($L31,Data_Validation!$A:$E,5,0)</f>
        <v>0</v>
      </c>
      <c r="X31" s="156">
        <f>+VLOOKUP($L31,Data_Validation!$A:$F,6,0)</f>
        <v>0</v>
      </c>
    </row>
    <row r="32" spans="1:24" ht="15" hidden="1" customHeight="1">
      <c r="A32" s="1147" t="s">
        <v>2281</v>
      </c>
      <c r="B32" s="1147" t="s">
        <v>2282</v>
      </c>
      <c r="C32" s="1145"/>
      <c r="D32" s="1145"/>
      <c r="E32" s="1145"/>
      <c r="F32" s="1147" t="s">
        <v>1</v>
      </c>
      <c r="G32" s="1147" t="s">
        <v>2904</v>
      </c>
      <c r="H32" s="1145"/>
      <c r="I32" s="1149">
        <v>737500</v>
      </c>
      <c r="J32" s="1149">
        <v>0</v>
      </c>
      <c r="K32" s="1149">
        <v>737500</v>
      </c>
      <c r="L32" s="153" t="str">
        <f t="shared" si="0"/>
        <v>372</v>
      </c>
      <c r="M32" s="154" t="str">
        <f t="shared" si="1"/>
        <v>FONDS DE ROULEMENT/MIN. REQUIS</v>
      </c>
      <c r="N32" s="155">
        <f>+IF(OR($Q32=Parametres!$G$2,$Q32=Parametres!$G$3),I32,C32)</f>
        <v>737500</v>
      </c>
      <c r="O32" s="1123">
        <f>+IF(OR($Q32=Parametres!$G$2,$Q32=Parametres!$G$3),J32,D32)</f>
        <v>0</v>
      </c>
      <c r="P32" s="155">
        <f>+IF(OR($Q32=Parametres!$G$2,$Q32=Parametres!$G$3),K32,E32)</f>
        <v>737500</v>
      </c>
      <c r="Q32" s="154" t="str">
        <f t="shared" si="2"/>
        <v>1-Mémo</v>
      </c>
      <c r="R32" s="153" t="str">
        <f t="shared" si="3"/>
        <v>37</v>
      </c>
      <c r="S32" s="154">
        <f t="shared" si="4"/>
        <v>0</v>
      </c>
      <c r="T32" s="156" t="str">
        <f>+VLOOKUP($L32,Data_Validation!$A:$D,1,0)</f>
        <v>372</v>
      </c>
      <c r="U32" s="156">
        <f>+VLOOKUP($L32,Data_Validation!$A:$D,3,0)</f>
        <v>0</v>
      </c>
      <c r="V32" s="156">
        <f>+VLOOKUP($L32,Data_Validation!$A:$D,4,0)</f>
        <v>0</v>
      </c>
      <c r="W32" s="156">
        <f>+VLOOKUP($L32,Data_Validation!$A:$E,5,0)</f>
        <v>0</v>
      </c>
      <c r="X32" s="156">
        <f>+VLOOKUP($L32,Data_Validation!$A:$F,6,0)</f>
        <v>0</v>
      </c>
    </row>
    <row r="33" spans="1:24" ht="15" hidden="1" customHeight="1">
      <c r="A33" s="1147" t="s">
        <v>2283</v>
      </c>
      <c r="B33" s="1147" t="s">
        <v>2284</v>
      </c>
      <c r="C33" s="1145"/>
      <c r="D33" s="1145"/>
      <c r="E33" s="1145"/>
      <c r="F33" s="1147" t="s">
        <v>1</v>
      </c>
      <c r="G33" s="1147" t="s">
        <v>2213</v>
      </c>
      <c r="H33" s="1145"/>
      <c r="I33" s="1149">
        <v>0.24</v>
      </c>
      <c r="J33" s="1149">
        <v>0</v>
      </c>
      <c r="K33" s="1149">
        <v>0.24</v>
      </c>
      <c r="L33" s="153" t="str">
        <f t="shared" si="0"/>
        <v>401</v>
      </c>
      <c r="M33" s="154" t="str">
        <f t="shared" si="1"/>
        <v>UNITES NEUVES VENDUES JANVIER</v>
      </c>
      <c r="N33" s="155">
        <f>+IF(OR($Q33=Parametres!$G$2,$Q33=Parametres!$G$3),I33,C33)</f>
        <v>0.24</v>
      </c>
      <c r="O33" s="1122">
        <f>+IF(OR($Q33=Parametres!$G$2,$Q33=Parametres!$G$3),J33,D33)</f>
        <v>0</v>
      </c>
      <c r="P33" s="155">
        <f>+IF(OR($Q33=Parametres!$G$2,$Q33=Parametres!$G$3),K33,E33)</f>
        <v>0.24</v>
      </c>
      <c r="Q33" s="154" t="str">
        <f t="shared" si="2"/>
        <v>1-Mémo</v>
      </c>
      <c r="R33" s="153" t="str">
        <f t="shared" si="3"/>
        <v>40</v>
      </c>
      <c r="S33" s="154">
        <f t="shared" si="4"/>
        <v>0</v>
      </c>
      <c r="T33" s="156" t="str">
        <f>+VLOOKUP($L33,Data_Validation!$A:$D,1,0)</f>
        <v>401</v>
      </c>
      <c r="U33" s="156">
        <f>+VLOOKUP($L33,Data_Validation!$A:$D,3,0)</f>
        <v>0</v>
      </c>
      <c r="V33" s="156">
        <f>+VLOOKUP($L33,Data_Validation!$A:$D,4,0)</f>
        <v>0</v>
      </c>
      <c r="W33" s="156">
        <f>+VLOOKUP($L33,Data_Validation!$A:$E,5,0)</f>
        <v>0</v>
      </c>
      <c r="X33" s="156">
        <f>+VLOOKUP($L33,Data_Validation!$A:$F,6,0)</f>
        <v>0</v>
      </c>
    </row>
    <row r="34" spans="1:24" ht="15.75" hidden="1" customHeight="1">
      <c r="A34" s="1147" t="s">
        <v>2285</v>
      </c>
      <c r="B34" s="1147" t="s">
        <v>2286</v>
      </c>
      <c r="C34" s="1145"/>
      <c r="D34" s="1145"/>
      <c r="E34" s="1145"/>
      <c r="F34" s="1147" t="s">
        <v>1</v>
      </c>
      <c r="G34" s="1147" t="s">
        <v>2213</v>
      </c>
      <c r="H34" s="1145"/>
      <c r="I34" s="1149">
        <v>0.52</v>
      </c>
      <c r="J34" s="1149">
        <v>0</v>
      </c>
      <c r="K34" s="1149">
        <v>0.52</v>
      </c>
      <c r="L34" s="153" t="str">
        <f t="shared" si="0"/>
        <v>402</v>
      </c>
      <c r="M34" s="154" t="str">
        <f t="shared" si="1"/>
        <v>UNITES NEUVES VENDUES FEVRIER</v>
      </c>
      <c r="N34" s="155">
        <f>+IF(OR($Q34=Parametres!$G$2,$Q34=Parametres!$G$3),I34,C34)</f>
        <v>0.52</v>
      </c>
      <c r="O34" s="1122">
        <f>+IF(OR($Q34=Parametres!$G$2,$Q34=Parametres!$G$3),J34,D34)</f>
        <v>0</v>
      </c>
      <c r="P34" s="155">
        <f>+IF(OR($Q34=Parametres!$G$2,$Q34=Parametres!$G$3),K34,E34)</f>
        <v>0.52</v>
      </c>
      <c r="Q34" s="154" t="str">
        <f t="shared" si="2"/>
        <v>1-Mémo</v>
      </c>
      <c r="R34" s="153" t="str">
        <f t="shared" si="3"/>
        <v>40</v>
      </c>
      <c r="S34" s="154">
        <f t="shared" si="4"/>
        <v>0</v>
      </c>
      <c r="T34" s="156" t="str">
        <f>+VLOOKUP($L34,Data_Validation!$A:$D,1,0)</f>
        <v>402</v>
      </c>
      <c r="U34" s="156">
        <f>+VLOOKUP($L34,Data_Validation!$A:$D,3,0)</f>
        <v>0</v>
      </c>
      <c r="V34" s="156">
        <f>+VLOOKUP($L34,Data_Validation!$A:$D,4,0)</f>
        <v>0</v>
      </c>
      <c r="W34" s="156">
        <f>+VLOOKUP($L34,Data_Validation!$A:$E,5,0)</f>
        <v>0</v>
      </c>
      <c r="X34" s="156">
        <f>+VLOOKUP($L34,Data_Validation!$A:$F,6,0)</f>
        <v>0</v>
      </c>
    </row>
    <row r="35" spans="1:24" ht="15" hidden="1" customHeight="1">
      <c r="A35" s="1147" t="s">
        <v>2287</v>
      </c>
      <c r="B35" s="1147" t="s">
        <v>2288</v>
      </c>
      <c r="C35" s="1145"/>
      <c r="D35" s="1145"/>
      <c r="E35" s="1145"/>
      <c r="F35" s="1147" t="s">
        <v>1</v>
      </c>
      <c r="G35" s="1147" t="s">
        <v>2213</v>
      </c>
      <c r="H35" s="1145"/>
      <c r="I35" s="1149">
        <v>0.81</v>
      </c>
      <c r="J35" s="1149">
        <v>0</v>
      </c>
      <c r="K35" s="1149">
        <v>0.81</v>
      </c>
      <c r="L35" s="153" t="str">
        <f t="shared" si="0"/>
        <v>403</v>
      </c>
      <c r="M35" s="154" t="str">
        <f t="shared" si="1"/>
        <v>UNITES NEUVES VENDUES MARS</v>
      </c>
      <c r="N35" s="155">
        <f>+IF(OR($Q35=Parametres!$G$2,$Q35=Parametres!$G$3),I35,C35)</f>
        <v>0.81</v>
      </c>
      <c r="O35" s="1122">
        <f>+IF(OR($Q35=Parametres!$G$2,$Q35=Parametres!$G$3),J35,D35)</f>
        <v>0</v>
      </c>
      <c r="P35" s="155">
        <f>+IF(OR($Q35=Parametres!$G$2,$Q35=Parametres!$G$3),K35,E35)</f>
        <v>0.81</v>
      </c>
      <c r="Q35" s="154" t="str">
        <f t="shared" si="2"/>
        <v>1-Mémo</v>
      </c>
      <c r="R35" s="153" t="str">
        <f t="shared" si="3"/>
        <v>40</v>
      </c>
      <c r="S35" s="154">
        <f t="shared" si="4"/>
        <v>0</v>
      </c>
      <c r="T35" s="156" t="str">
        <f>+VLOOKUP($L35,Data_Validation!$A:$D,1,0)</f>
        <v>403</v>
      </c>
      <c r="U35" s="156">
        <f>+VLOOKUP($L35,Data_Validation!$A:$D,3,0)</f>
        <v>0</v>
      </c>
      <c r="V35" s="156">
        <f>+VLOOKUP($L35,Data_Validation!$A:$D,4,0)</f>
        <v>0</v>
      </c>
      <c r="W35" s="156">
        <f>+VLOOKUP($L35,Data_Validation!$A:$E,5,0)</f>
        <v>0</v>
      </c>
      <c r="X35" s="156">
        <f>+VLOOKUP($L35,Data_Validation!$A:$F,6,0)</f>
        <v>0</v>
      </c>
    </row>
    <row r="36" spans="1:24" ht="15" hidden="1" customHeight="1">
      <c r="A36" s="1147" t="s">
        <v>2289</v>
      </c>
      <c r="B36" s="1147" t="s">
        <v>2290</v>
      </c>
      <c r="C36" s="1145"/>
      <c r="D36" s="1145"/>
      <c r="E36" s="1145"/>
      <c r="F36" s="1147" t="s">
        <v>1</v>
      </c>
      <c r="G36" s="1147" t="s">
        <v>2213</v>
      </c>
      <c r="H36" s="1145"/>
      <c r="I36" s="1149">
        <v>0.73</v>
      </c>
      <c r="J36" s="1149">
        <v>0</v>
      </c>
      <c r="K36" s="1149">
        <v>0.73</v>
      </c>
      <c r="L36" s="153" t="str">
        <f t="shared" si="0"/>
        <v>404</v>
      </c>
      <c r="M36" s="154" t="str">
        <f t="shared" si="1"/>
        <v>UNITES NEUVES VENDUES AVRIL</v>
      </c>
      <c r="N36" s="155">
        <f>+IF(OR($Q36=Parametres!$G$2,$Q36=Parametres!$G$3),I36,C36)</f>
        <v>0.73</v>
      </c>
      <c r="O36" s="1122">
        <f>+IF(OR($Q36=Parametres!$G$2,$Q36=Parametres!$G$3),J36,D36)</f>
        <v>0</v>
      </c>
      <c r="P36" s="155">
        <f>+IF(OR($Q36=Parametres!$G$2,$Q36=Parametres!$G$3),K36,E36)</f>
        <v>0.73</v>
      </c>
      <c r="Q36" s="154" t="str">
        <f t="shared" si="2"/>
        <v>1-Mémo</v>
      </c>
      <c r="R36" s="153" t="str">
        <f t="shared" si="3"/>
        <v>40</v>
      </c>
      <c r="S36" s="154">
        <f t="shared" si="4"/>
        <v>0</v>
      </c>
      <c r="T36" s="156" t="str">
        <f>+VLOOKUP($L36,Data_Validation!$A:$D,1,0)</f>
        <v>404</v>
      </c>
      <c r="U36" s="156">
        <f>+VLOOKUP($L36,Data_Validation!$A:$D,3,0)</f>
        <v>0</v>
      </c>
      <c r="V36" s="156">
        <f>+VLOOKUP($L36,Data_Validation!$A:$D,4,0)</f>
        <v>0</v>
      </c>
      <c r="W36" s="156">
        <f>+VLOOKUP($L36,Data_Validation!$A:$E,5,0)</f>
        <v>0</v>
      </c>
      <c r="X36" s="156">
        <f>+VLOOKUP($L36,Data_Validation!$A:$F,6,0)</f>
        <v>0</v>
      </c>
    </row>
    <row r="37" spans="1:24" ht="15" hidden="1" customHeight="1">
      <c r="A37" s="1147" t="s">
        <v>2291</v>
      </c>
      <c r="B37" s="1147" t="s">
        <v>2292</v>
      </c>
      <c r="C37" s="1145"/>
      <c r="D37" s="1145"/>
      <c r="E37" s="1145"/>
      <c r="F37" s="1147" t="s">
        <v>1</v>
      </c>
      <c r="G37" s="1147" t="s">
        <v>2213</v>
      </c>
      <c r="H37" s="1145"/>
      <c r="I37" s="1149">
        <v>0.91</v>
      </c>
      <c r="J37" s="1149">
        <v>0</v>
      </c>
      <c r="K37" s="1149">
        <v>0.91</v>
      </c>
      <c r="L37" s="153" t="str">
        <f t="shared" si="0"/>
        <v>405</v>
      </c>
      <c r="M37" s="154" t="str">
        <f t="shared" si="1"/>
        <v>UNITES NEUVES VENDUES MAI</v>
      </c>
      <c r="N37" s="155">
        <f>+IF(OR($Q37=Parametres!$G$2,$Q37=Parametres!$G$3),I37,C37)</f>
        <v>0.91</v>
      </c>
      <c r="O37" s="1122">
        <f>+IF(OR($Q37=Parametres!$G$2,$Q37=Parametres!$G$3),J37,D37)</f>
        <v>0</v>
      </c>
      <c r="P37" s="155">
        <f>+IF(OR($Q37=Parametres!$G$2,$Q37=Parametres!$G$3),K37,E37)</f>
        <v>0.91</v>
      </c>
      <c r="Q37" s="154" t="str">
        <f t="shared" si="2"/>
        <v>1-Mémo</v>
      </c>
      <c r="R37" s="153" t="str">
        <f t="shared" si="3"/>
        <v>40</v>
      </c>
      <c r="S37" s="154">
        <f t="shared" si="4"/>
        <v>0</v>
      </c>
      <c r="T37" s="156" t="str">
        <f>+VLOOKUP($L37,Data_Validation!$A:$D,1,0)</f>
        <v>405</v>
      </c>
      <c r="U37" s="156">
        <f>+VLOOKUP($L37,Data_Validation!$A:$D,3,0)</f>
        <v>0</v>
      </c>
      <c r="V37" s="156">
        <f>+VLOOKUP($L37,Data_Validation!$A:$D,4,0)</f>
        <v>0</v>
      </c>
      <c r="W37" s="156">
        <f>+VLOOKUP($L37,Data_Validation!$A:$E,5,0)</f>
        <v>0</v>
      </c>
      <c r="X37" s="156">
        <f>+VLOOKUP($L37,Data_Validation!$A:$F,6,0)</f>
        <v>0</v>
      </c>
    </row>
    <row r="38" spans="1:24" ht="15" hidden="1" customHeight="1">
      <c r="A38" s="1147" t="s">
        <v>2293</v>
      </c>
      <c r="B38" s="1147" t="s">
        <v>2294</v>
      </c>
      <c r="C38" s="1145"/>
      <c r="D38" s="1145"/>
      <c r="E38" s="1145"/>
      <c r="F38" s="1147" t="s">
        <v>1</v>
      </c>
      <c r="G38" s="1147" t="s">
        <v>2213</v>
      </c>
      <c r="H38" s="1145"/>
      <c r="I38" s="1149">
        <v>0.65</v>
      </c>
      <c r="J38" s="1149">
        <v>0</v>
      </c>
      <c r="K38" s="1149">
        <v>0.65</v>
      </c>
      <c r="L38" s="153" t="str">
        <f t="shared" si="0"/>
        <v>406</v>
      </c>
      <c r="M38" s="154" t="str">
        <f t="shared" si="1"/>
        <v>UNITES NEUVES VENDUES JUIN</v>
      </c>
      <c r="N38" s="155">
        <f>+IF(OR($Q38=Parametres!$G$2,$Q38=Parametres!$G$3),I38,C38)</f>
        <v>0.65</v>
      </c>
      <c r="O38" s="1122">
        <f>+IF(OR($Q38=Parametres!$G$2,$Q38=Parametres!$G$3),J38,D38)</f>
        <v>0</v>
      </c>
      <c r="P38" s="155">
        <f>+IF(OR($Q38=Parametres!$G$2,$Q38=Parametres!$G$3),K38,E38)</f>
        <v>0.65</v>
      </c>
      <c r="Q38" s="154" t="str">
        <f t="shared" si="2"/>
        <v>1-Mémo</v>
      </c>
      <c r="R38" s="153" t="str">
        <f t="shared" si="3"/>
        <v>40</v>
      </c>
      <c r="S38" s="154">
        <f t="shared" si="4"/>
        <v>0</v>
      </c>
      <c r="T38" s="156" t="str">
        <f>+VLOOKUP($L38,Data_Validation!$A:$D,1,0)</f>
        <v>406</v>
      </c>
      <c r="U38" s="156">
        <f>+VLOOKUP($L38,Data_Validation!$A:$D,3,0)</f>
        <v>0</v>
      </c>
      <c r="V38" s="156">
        <f>+VLOOKUP($L38,Data_Validation!$A:$D,4,0)</f>
        <v>0</v>
      </c>
      <c r="W38" s="156">
        <f>+VLOOKUP($L38,Data_Validation!$A:$E,5,0)</f>
        <v>0</v>
      </c>
      <c r="X38" s="156">
        <f>+VLOOKUP($L38,Data_Validation!$A:$F,6,0)</f>
        <v>0</v>
      </c>
    </row>
    <row r="39" spans="1:24" ht="15" hidden="1" customHeight="1">
      <c r="A39" s="1147" t="s">
        <v>2304</v>
      </c>
      <c r="B39" s="1147" t="s">
        <v>2305</v>
      </c>
      <c r="C39" s="1145"/>
      <c r="D39" s="1145"/>
      <c r="E39" s="1145"/>
      <c r="F39" s="1147" t="s">
        <v>1</v>
      </c>
      <c r="G39" s="1147" t="s">
        <v>2306</v>
      </c>
      <c r="H39" s="1145"/>
      <c r="I39" s="1149">
        <v>0.15</v>
      </c>
      <c r="J39" s="1149">
        <v>0</v>
      </c>
      <c r="K39" s="1149">
        <v>0.15</v>
      </c>
      <c r="L39" s="153" t="str">
        <f t="shared" si="0"/>
        <v>421</v>
      </c>
      <c r="M39" s="154" t="str">
        <f t="shared" si="1"/>
        <v>UNITES USAGES DET./ JANV.</v>
      </c>
      <c r="N39" s="155">
        <f>+IF(OR($Q39=Parametres!$G$2,$Q39=Parametres!$G$3),I39,C39)</f>
        <v>0.15</v>
      </c>
      <c r="O39" s="1120">
        <f>+IF(OR($Q39=Parametres!$G$2,$Q39=Parametres!$G$3),J39,D39)</f>
        <v>0</v>
      </c>
      <c r="P39" s="155">
        <f>+IF(OR($Q39=Parametres!$G$2,$Q39=Parametres!$G$3),K39,E39)</f>
        <v>0.15</v>
      </c>
      <c r="Q39" s="154" t="str">
        <f t="shared" si="2"/>
        <v>1-Mémo</v>
      </c>
      <c r="R39" s="153" t="str">
        <f t="shared" si="3"/>
        <v>42</v>
      </c>
      <c r="S39" s="154">
        <f t="shared" si="4"/>
        <v>0</v>
      </c>
      <c r="T39" s="156" t="str">
        <f>+VLOOKUP($L39,Data_Validation!$A:$D,1,0)</f>
        <v>421</v>
      </c>
      <c r="U39" s="156">
        <f>+VLOOKUP($L39,Data_Validation!$A:$D,3,0)</f>
        <v>0</v>
      </c>
      <c r="V39" s="156">
        <f>+VLOOKUP($L39,Data_Validation!$A:$D,4,0)</f>
        <v>0</v>
      </c>
      <c r="W39" s="156">
        <f>+VLOOKUP($L39,Data_Validation!$A:$E,5,0)</f>
        <v>0</v>
      </c>
      <c r="X39" s="156">
        <f>+VLOOKUP($L39,Data_Validation!$A:$F,6,0)</f>
        <v>0</v>
      </c>
    </row>
    <row r="40" spans="1:24" ht="15.75" hidden="1" customHeight="1">
      <c r="A40" s="1147" t="s">
        <v>2307</v>
      </c>
      <c r="B40" s="1147" t="s">
        <v>2308</v>
      </c>
      <c r="C40" s="1145"/>
      <c r="D40" s="1145"/>
      <c r="E40" s="1145"/>
      <c r="F40" s="1147" t="s">
        <v>1</v>
      </c>
      <c r="G40" s="1147" t="s">
        <v>2306</v>
      </c>
      <c r="H40" s="1145"/>
      <c r="I40" s="1149">
        <v>0.3</v>
      </c>
      <c r="J40" s="1149">
        <v>0</v>
      </c>
      <c r="K40" s="1149">
        <v>0.3</v>
      </c>
      <c r="L40" s="153" t="str">
        <f t="shared" si="0"/>
        <v>422</v>
      </c>
      <c r="M40" s="154" t="str">
        <f t="shared" si="1"/>
        <v>UNITES USAGES DET./ FEVR.</v>
      </c>
      <c r="N40" s="155">
        <f>+IF(OR($Q40=Parametres!$G$2,$Q40=Parametres!$G$3),I40,C40)</f>
        <v>0.3</v>
      </c>
      <c r="O40" s="1122">
        <f>+IF(OR($Q40=Parametres!$G$2,$Q40=Parametres!$G$3),J40,D40)</f>
        <v>0</v>
      </c>
      <c r="P40" s="155">
        <f>+IF(OR($Q40=Parametres!$G$2,$Q40=Parametres!$G$3),K40,E40)</f>
        <v>0.3</v>
      </c>
      <c r="Q40" s="154" t="str">
        <f t="shared" si="2"/>
        <v>1-Mémo</v>
      </c>
      <c r="R40" s="153" t="str">
        <f t="shared" si="3"/>
        <v>42</v>
      </c>
      <c r="S40" s="154">
        <f t="shared" si="4"/>
        <v>0</v>
      </c>
      <c r="T40" s="156" t="str">
        <f>+VLOOKUP($L40,Data_Validation!$A:$D,1,0)</f>
        <v>422</v>
      </c>
      <c r="U40" s="156">
        <f>+VLOOKUP($L40,Data_Validation!$A:$D,3,0)</f>
        <v>0</v>
      </c>
      <c r="V40" s="156">
        <f>+VLOOKUP($L40,Data_Validation!$A:$D,4,0)</f>
        <v>0</v>
      </c>
      <c r="W40" s="156">
        <f>+VLOOKUP($L40,Data_Validation!$A:$E,5,0)</f>
        <v>0</v>
      </c>
      <c r="X40" s="156">
        <f>+VLOOKUP($L40,Data_Validation!$A:$F,6,0)</f>
        <v>0</v>
      </c>
    </row>
    <row r="41" spans="1:24" ht="15" hidden="1" customHeight="1">
      <c r="A41" s="1147" t="s">
        <v>2309</v>
      </c>
      <c r="B41" s="1147" t="s">
        <v>2310</v>
      </c>
      <c r="C41" s="1145"/>
      <c r="D41" s="1145"/>
      <c r="E41" s="1145"/>
      <c r="F41" s="1147" t="s">
        <v>1</v>
      </c>
      <c r="G41" s="1147" t="s">
        <v>2306</v>
      </c>
      <c r="H41" s="1145"/>
      <c r="I41" s="1149">
        <v>0.42</v>
      </c>
      <c r="J41" s="1149">
        <v>0</v>
      </c>
      <c r="K41" s="1149">
        <v>0.42</v>
      </c>
      <c r="L41" s="153" t="str">
        <f t="shared" si="0"/>
        <v>423</v>
      </c>
      <c r="M41" s="154" t="str">
        <f t="shared" si="1"/>
        <v>UNITES USAGES DET./ MARS</v>
      </c>
      <c r="N41" s="155">
        <f>+IF(OR($Q41=Parametres!$G$2,$Q41=Parametres!$G$3),I41,C41)</f>
        <v>0.42</v>
      </c>
      <c r="O41" s="1120">
        <f>+IF(OR($Q41=Parametres!$G$2,$Q41=Parametres!$G$3),J41,D41)</f>
        <v>0</v>
      </c>
      <c r="P41" s="155">
        <f>+IF(OR($Q41=Parametres!$G$2,$Q41=Parametres!$G$3),K41,E41)</f>
        <v>0.42</v>
      </c>
      <c r="Q41" s="154" t="str">
        <f t="shared" si="2"/>
        <v>1-Mémo</v>
      </c>
      <c r="R41" s="153" t="str">
        <f t="shared" si="3"/>
        <v>42</v>
      </c>
      <c r="S41" s="154">
        <f t="shared" si="4"/>
        <v>0</v>
      </c>
      <c r="T41" s="156" t="str">
        <f>+VLOOKUP($L41,Data_Validation!$A:$D,1,0)</f>
        <v>423</v>
      </c>
      <c r="U41" s="156">
        <f>+VLOOKUP($L41,Data_Validation!$A:$D,3,0)</f>
        <v>0</v>
      </c>
      <c r="V41" s="156">
        <f>+VLOOKUP($L41,Data_Validation!$A:$D,4,0)</f>
        <v>0</v>
      </c>
      <c r="W41" s="156">
        <f>+VLOOKUP($L41,Data_Validation!$A:$E,5,0)</f>
        <v>0</v>
      </c>
      <c r="X41" s="156">
        <f>+VLOOKUP($L41,Data_Validation!$A:$F,6,0)</f>
        <v>0</v>
      </c>
    </row>
    <row r="42" spans="1:24" ht="15" hidden="1" customHeight="1">
      <c r="A42" s="1147" t="s">
        <v>2311</v>
      </c>
      <c r="B42" s="1147" t="s">
        <v>2312</v>
      </c>
      <c r="C42" s="1145"/>
      <c r="D42" s="1145"/>
      <c r="E42" s="1145"/>
      <c r="F42" s="1147" t="s">
        <v>1</v>
      </c>
      <c r="G42" s="1147" t="s">
        <v>2306</v>
      </c>
      <c r="H42" s="1145"/>
      <c r="I42" s="1149">
        <v>0.41</v>
      </c>
      <c r="J42" s="1149">
        <v>0</v>
      </c>
      <c r="K42" s="1149">
        <v>0.41</v>
      </c>
      <c r="L42" s="153" t="str">
        <f t="shared" si="0"/>
        <v>424</v>
      </c>
      <c r="M42" s="154" t="str">
        <f t="shared" si="1"/>
        <v>UNITES USAGES DET./ AVRIL</v>
      </c>
      <c r="N42" s="155">
        <f>+IF(OR($Q42=Parametres!$G$2,$Q42=Parametres!$G$3),I42,C42)</f>
        <v>0.41</v>
      </c>
      <c r="O42" s="1122">
        <f>+IF(OR($Q42=Parametres!$G$2,$Q42=Parametres!$G$3),J42,D42)</f>
        <v>0</v>
      </c>
      <c r="P42" s="155">
        <f>+IF(OR($Q42=Parametres!$G$2,$Q42=Parametres!$G$3),K42,E42)</f>
        <v>0.41</v>
      </c>
      <c r="Q42" s="154" t="str">
        <f t="shared" si="2"/>
        <v>1-Mémo</v>
      </c>
      <c r="R42" s="153" t="str">
        <f t="shared" si="3"/>
        <v>42</v>
      </c>
      <c r="S42" s="154">
        <f t="shared" si="4"/>
        <v>0</v>
      </c>
      <c r="T42" s="156" t="str">
        <f>+VLOOKUP($L42,Data_Validation!$A:$D,1,0)</f>
        <v>424</v>
      </c>
      <c r="U42" s="156">
        <f>+VLOOKUP($L42,Data_Validation!$A:$D,3,0)</f>
        <v>0</v>
      </c>
      <c r="V42" s="156">
        <f>+VLOOKUP($L42,Data_Validation!$A:$D,4,0)</f>
        <v>0</v>
      </c>
      <c r="W42" s="156">
        <f>+VLOOKUP($L42,Data_Validation!$A:$E,5,0)</f>
        <v>0</v>
      </c>
      <c r="X42" s="156">
        <f>+VLOOKUP($L42,Data_Validation!$A:$F,6,0)</f>
        <v>0</v>
      </c>
    </row>
    <row r="43" spans="1:24" ht="15" hidden="1" customHeight="1">
      <c r="A43" s="1147" t="s">
        <v>2313</v>
      </c>
      <c r="B43" s="1147" t="s">
        <v>2314</v>
      </c>
      <c r="C43" s="1145"/>
      <c r="D43" s="1145"/>
      <c r="E43" s="1145"/>
      <c r="F43" s="1147" t="s">
        <v>1</v>
      </c>
      <c r="G43" s="1147" t="s">
        <v>2306</v>
      </c>
      <c r="H43" s="1145"/>
      <c r="I43" s="1149">
        <v>0.39</v>
      </c>
      <c r="J43" s="1149">
        <v>0</v>
      </c>
      <c r="K43" s="1149">
        <v>0.39</v>
      </c>
      <c r="L43" s="153" t="str">
        <f t="shared" si="0"/>
        <v>425</v>
      </c>
      <c r="M43" s="154" t="str">
        <f t="shared" si="1"/>
        <v>UNITES USAGES DET./ MAI</v>
      </c>
      <c r="N43" s="155">
        <f>+IF(OR($Q43=Parametres!$G$2,$Q43=Parametres!$G$3),I43,C43)</f>
        <v>0.39</v>
      </c>
      <c r="O43" s="1122">
        <f>+IF(OR($Q43=Parametres!$G$2,$Q43=Parametres!$G$3),J43,D43)</f>
        <v>0</v>
      </c>
      <c r="P43" s="155">
        <f>+IF(OR($Q43=Parametres!$G$2,$Q43=Parametres!$G$3),K43,E43)</f>
        <v>0.39</v>
      </c>
      <c r="Q43" s="154" t="str">
        <f t="shared" si="2"/>
        <v>1-Mémo</v>
      </c>
      <c r="R43" s="153" t="str">
        <f t="shared" si="3"/>
        <v>42</v>
      </c>
      <c r="S43" s="154">
        <f t="shared" si="4"/>
        <v>0</v>
      </c>
      <c r="T43" s="156" t="str">
        <f>+VLOOKUP($L43,Data_Validation!$A:$D,1,0)</f>
        <v>425</v>
      </c>
      <c r="U43" s="156">
        <f>+VLOOKUP($L43,Data_Validation!$A:$D,3,0)</f>
        <v>0</v>
      </c>
      <c r="V43" s="156">
        <f>+VLOOKUP($L43,Data_Validation!$A:$D,4,0)</f>
        <v>0</v>
      </c>
      <c r="W43" s="156">
        <f>+VLOOKUP($L43,Data_Validation!$A:$E,5,0)</f>
        <v>0</v>
      </c>
      <c r="X43" s="156">
        <f>+VLOOKUP($L43,Data_Validation!$A:$F,6,0)</f>
        <v>0</v>
      </c>
    </row>
    <row r="44" spans="1:24" ht="15.75" hidden="1" customHeight="1">
      <c r="A44" s="1147" t="s">
        <v>2315</v>
      </c>
      <c r="B44" s="1147" t="s">
        <v>2316</v>
      </c>
      <c r="C44" s="1145"/>
      <c r="D44" s="1145"/>
      <c r="E44" s="1145"/>
      <c r="F44" s="1147" t="s">
        <v>1</v>
      </c>
      <c r="G44" s="1147" t="s">
        <v>2306</v>
      </c>
      <c r="H44" s="1145"/>
      <c r="I44" s="1149">
        <v>0.37</v>
      </c>
      <c r="J44" s="1149">
        <v>0</v>
      </c>
      <c r="K44" s="1149">
        <v>0.37</v>
      </c>
      <c r="L44" s="153" t="str">
        <f t="shared" si="0"/>
        <v>426</v>
      </c>
      <c r="M44" s="154" t="str">
        <f t="shared" si="1"/>
        <v>UNITES USAGES DET./ JUIN</v>
      </c>
      <c r="N44" s="155">
        <f>+IF(OR($Q44=Parametres!$G$2,$Q44=Parametres!$G$3),I44,C44)</f>
        <v>0.37</v>
      </c>
      <c r="O44" s="1122">
        <f>+IF(OR($Q44=Parametres!$G$2,$Q44=Parametres!$G$3),J44,D44)</f>
        <v>0</v>
      </c>
      <c r="P44" s="155">
        <f>+IF(OR($Q44=Parametres!$G$2,$Q44=Parametres!$G$3),K44,E44)</f>
        <v>0.37</v>
      </c>
      <c r="Q44" s="154" t="str">
        <f t="shared" si="2"/>
        <v>1-Mémo</v>
      </c>
      <c r="R44" s="153" t="str">
        <f t="shared" si="3"/>
        <v>42</v>
      </c>
      <c r="S44" s="154">
        <f t="shared" si="4"/>
        <v>0</v>
      </c>
      <c r="T44" s="156" t="str">
        <f>+VLOOKUP($L44,Data_Validation!$A:$D,1,0)</f>
        <v>426</v>
      </c>
      <c r="U44" s="156">
        <f>+VLOOKUP($L44,Data_Validation!$A:$D,3,0)</f>
        <v>0</v>
      </c>
      <c r="V44" s="156">
        <f>+VLOOKUP($L44,Data_Validation!$A:$D,4,0)</f>
        <v>0</v>
      </c>
      <c r="W44" s="156">
        <f>+VLOOKUP($L44,Data_Validation!$A:$E,5,0)</f>
        <v>0</v>
      </c>
      <c r="X44" s="156">
        <f>+VLOOKUP($L44,Data_Validation!$A:$F,6,0)</f>
        <v>0</v>
      </c>
    </row>
    <row r="45" spans="1:24" ht="15" hidden="1" customHeight="1">
      <c r="A45" s="1147" t="s">
        <v>2327</v>
      </c>
      <c r="B45" s="1147" t="s">
        <v>2328</v>
      </c>
      <c r="C45" s="1145"/>
      <c r="D45" s="1145"/>
      <c r="E45" s="1145"/>
      <c r="F45" s="1147" t="s">
        <v>1</v>
      </c>
      <c r="G45" s="1147" t="s">
        <v>2215</v>
      </c>
      <c r="H45" s="1145"/>
      <c r="I45" s="1149">
        <v>1</v>
      </c>
      <c r="J45" s="1149">
        <v>0</v>
      </c>
      <c r="K45" s="1149">
        <v>1</v>
      </c>
      <c r="L45" s="153" t="str">
        <f t="shared" si="0"/>
        <v>500</v>
      </c>
      <c r="M45" s="154" t="str">
        <f t="shared" si="1"/>
        <v>PROPRIETAIRES</v>
      </c>
      <c r="N45" s="155">
        <f>+IF(OR($Q45=Parametres!$G$2,$Q45=Parametres!$G$3),I45,C45)</f>
        <v>1</v>
      </c>
      <c r="O45" s="1122">
        <f>+IF(OR($Q45=Parametres!$G$2,$Q45=Parametres!$G$3),J45,D45)</f>
        <v>0</v>
      </c>
      <c r="P45" s="155">
        <f>+IF(OR($Q45=Parametres!$G$2,$Q45=Parametres!$G$3),K45,E45)</f>
        <v>1</v>
      </c>
      <c r="Q45" s="154" t="str">
        <f t="shared" si="2"/>
        <v>1-Mémo</v>
      </c>
      <c r="R45" s="153" t="str">
        <f t="shared" si="3"/>
        <v>50</v>
      </c>
      <c r="S45" s="154">
        <f t="shared" si="4"/>
        <v>0</v>
      </c>
      <c r="T45" s="156" t="str">
        <f>+VLOOKUP($L45,Data_Validation!$A:$D,1,0)</f>
        <v>500</v>
      </c>
      <c r="U45" s="156">
        <f>+VLOOKUP($L45,Data_Validation!$A:$D,3,0)</f>
        <v>0</v>
      </c>
      <c r="V45" s="156">
        <f>+VLOOKUP($L45,Data_Validation!$A:$D,4,0)</f>
        <v>0</v>
      </c>
      <c r="W45" s="156" t="str">
        <f>+VLOOKUP($L45,Data_Validation!$A:$E,5,0)</f>
        <v>$</v>
      </c>
      <c r="X45" s="156">
        <f>+VLOOKUP($L45,Data_Validation!$A:$F,6,0)</f>
        <v>0</v>
      </c>
    </row>
    <row r="46" spans="1:24" ht="15" hidden="1" customHeight="1">
      <c r="A46" s="1147" t="s">
        <v>2329</v>
      </c>
      <c r="B46" s="1147" t="s">
        <v>1526</v>
      </c>
      <c r="C46" s="1145"/>
      <c r="D46" s="1145"/>
      <c r="E46" s="1145"/>
      <c r="F46" s="1147" t="s">
        <v>1</v>
      </c>
      <c r="G46" s="1147" t="s">
        <v>2215</v>
      </c>
      <c r="H46" s="1145"/>
      <c r="I46" s="1149">
        <v>0.2</v>
      </c>
      <c r="J46" s="1149">
        <v>0</v>
      </c>
      <c r="K46" s="1149">
        <v>0.2</v>
      </c>
      <c r="L46" s="153" t="str">
        <f t="shared" si="0"/>
        <v>511</v>
      </c>
      <c r="M46" s="154" t="str">
        <f t="shared" si="1"/>
        <v>DIR. GENERAL NEUFS</v>
      </c>
      <c r="N46" s="155">
        <f>+IF(OR($Q46=Parametres!$G$2,$Q46=Parametres!$G$3),I46,C46)</f>
        <v>0.2</v>
      </c>
      <c r="O46" s="1122">
        <f>+IF(OR($Q46=Parametres!$G$2,$Q46=Parametres!$G$3),J46,D46)</f>
        <v>0</v>
      </c>
      <c r="P46" s="155">
        <f>+IF(OR($Q46=Parametres!$G$2,$Q46=Parametres!$G$3),K46,E46)</f>
        <v>0.2</v>
      </c>
      <c r="Q46" s="154" t="str">
        <f t="shared" si="2"/>
        <v>1-Mémo</v>
      </c>
      <c r="R46" s="153" t="str">
        <f t="shared" si="3"/>
        <v>50</v>
      </c>
      <c r="S46" s="154">
        <f t="shared" si="4"/>
        <v>0</v>
      </c>
      <c r="T46" s="156" t="str">
        <f>+VLOOKUP($L46,Data_Validation!$A:$D,1,0)</f>
        <v>511</v>
      </c>
      <c r="U46" s="156">
        <f>+VLOOKUP($L46,Data_Validation!$A:$D,3,0)</f>
        <v>0</v>
      </c>
      <c r="V46" s="156">
        <f>+VLOOKUP($L46,Data_Validation!$A:$D,4,0)</f>
        <v>0</v>
      </c>
      <c r="W46" s="156" t="str">
        <f>+VLOOKUP($L46,Data_Validation!$A:$E,5,0)</f>
        <v>$</v>
      </c>
      <c r="X46" s="156">
        <f>+VLOOKUP($L46,Data_Validation!$A:$F,6,0)</f>
        <v>0</v>
      </c>
    </row>
    <row r="47" spans="1:24" ht="15" hidden="1" customHeight="1">
      <c r="A47" s="1147" t="s">
        <v>2330</v>
      </c>
      <c r="B47" s="1147" t="s">
        <v>884</v>
      </c>
      <c r="C47" s="1145"/>
      <c r="D47" s="1145"/>
      <c r="E47" s="1145"/>
      <c r="F47" s="1147" t="s">
        <v>1</v>
      </c>
      <c r="G47" s="1147" t="s">
        <v>2215</v>
      </c>
      <c r="H47" s="1145"/>
      <c r="I47" s="1149">
        <v>0.2</v>
      </c>
      <c r="J47" s="1149">
        <v>0</v>
      </c>
      <c r="K47" s="1149">
        <v>0.2</v>
      </c>
      <c r="L47" s="153" t="str">
        <f t="shared" si="0"/>
        <v>512</v>
      </c>
      <c r="M47" s="154" t="str">
        <f t="shared" si="1"/>
        <v>DIR. GENERAL USAGES</v>
      </c>
      <c r="N47" s="155">
        <f>+IF(OR($Q47=Parametres!$G$2,$Q47=Parametres!$G$3),I47,C47)</f>
        <v>0.2</v>
      </c>
      <c r="O47" s="1122">
        <f>+IF(OR($Q47=Parametres!$G$2,$Q47=Parametres!$G$3),J47,D47)</f>
        <v>0</v>
      </c>
      <c r="P47" s="155">
        <f>+IF(OR($Q47=Parametres!$G$2,$Q47=Parametres!$G$3),K47,E47)</f>
        <v>0.2</v>
      </c>
      <c r="Q47" s="154" t="str">
        <f t="shared" si="2"/>
        <v>1-Mémo</v>
      </c>
      <c r="R47" s="153" t="str">
        <f t="shared" si="3"/>
        <v>50</v>
      </c>
      <c r="S47" s="154">
        <f t="shared" si="4"/>
        <v>0</v>
      </c>
      <c r="T47" s="156" t="str">
        <f>+VLOOKUP($L47,Data_Validation!$A:$D,1,0)</f>
        <v>512</v>
      </c>
      <c r="U47" s="156">
        <f>+VLOOKUP($L47,Data_Validation!$A:$D,3,0)</f>
        <v>0</v>
      </c>
      <c r="V47" s="156">
        <f>+VLOOKUP($L47,Data_Validation!$A:$D,4,0)</f>
        <v>0</v>
      </c>
      <c r="W47" s="156" t="str">
        <f>+VLOOKUP($L47,Data_Validation!$A:$E,5,0)</f>
        <v>$</v>
      </c>
      <c r="X47" s="156">
        <f>+VLOOKUP($L47,Data_Validation!$A:$F,6,0)</f>
        <v>0</v>
      </c>
    </row>
    <row r="48" spans="1:24" ht="15.75" hidden="1" customHeight="1">
      <c r="A48" s="1147" t="s">
        <v>2331</v>
      </c>
      <c r="B48" s="1147" t="s">
        <v>2332</v>
      </c>
      <c r="C48" s="1145"/>
      <c r="D48" s="1145"/>
      <c r="E48" s="1145"/>
      <c r="F48" s="1147" t="s">
        <v>1</v>
      </c>
      <c r="G48" s="1147" t="s">
        <v>2215</v>
      </c>
      <c r="H48" s="1145"/>
      <c r="I48" s="1149">
        <v>0.2</v>
      </c>
      <c r="J48" s="1149">
        <v>0</v>
      </c>
      <c r="K48" s="1149">
        <v>0.2</v>
      </c>
      <c r="L48" s="153" t="str">
        <f t="shared" si="0"/>
        <v>514</v>
      </c>
      <c r="M48" s="154" t="str">
        <f t="shared" si="1"/>
        <v>DIR. GENERAL SERVICE</v>
      </c>
      <c r="N48" s="155">
        <f>+IF(OR($Q48=Parametres!$G$2,$Q48=Parametres!$G$3),I48,C48)</f>
        <v>0.2</v>
      </c>
      <c r="O48" s="1122">
        <f>+IF(OR($Q48=Parametres!$G$2,$Q48=Parametres!$G$3),J48,D48)</f>
        <v>0</v>
      </c>
      <c r="P48" s="155">
        <f>+IF(OR($Q48=Parametres!$G$2,$Q48=Parametres!$G$3),K48,E48)</f>
        <v>0.2</v>
      </c>
      <c r="Q48" s="154" t="str">
        <f t="shared" si="2"/>
        <v>1-Mémo</v>
      </c>
      <c r="R48" s="153" t="str">
        <f t="shared" si="3"/>
        <v>50</v>
      </c>
      <c r="S48" s="154">
        <f t="shared" si="4"/>
        <v>0</v>
      </c>
      <c r="T48" s="156" t="str">
        <f>+VLOOKUP($L48,Data_Validation!$A:$D,1,0)</f>
        <v>514</v>
      </c>
      <c r="U48" s="156">
        <f>+VLOOKUP($L48,Data_Validation!$A:$D,3,0)</f>
        <v>0</v>
      </c>
      <c r="V48" s="156">
        <f>+VLOOKUP($L48,Data_Validation!$A:$D,4,0)</f>
        <v>0</v>
      </c>
      <c r="W48" s="156" t="str">
        <f>+VLOOKUP($L48,Data_Validation!$A:$E,5,0)</f>
        <v>$</v>
      </c>
      <c r="X48" s="156">
        <f>+VLOOKUP($L48,Data_Validation!$A:$F,6,0)</f>
        <v>0</v>
      </c>
    </row>
    <row r="49" spans="1:24" ht="15" hidden="1" customHeight="1">
      <c r="A49" s="1147" t="s">
        <v>2333</v>
      </c>
      <c r="B49" s="1147" t="s">
        <v>2334</v>
      </c>
      <c r="C49" s="1145"/>
      <c r="D49" s="1145"/>
      <c r="E49" s="1145"/>
      <c r="F49" s="1147" t="s">
        <v>1</v>
      </c>
      <c r="G49" s="1147" t="s">
        <v>2215</v>
      </c>
      <c r="H49" s="1145"/>
      <c r="I49" s="1149">
        <v>0.2</v>
      </c>
      <c r="J49" s="1149">
        <v>0</v>
      </c>
      <c r="K49" s="1149">
        <v>0.2</v>
      </c>
      <c r="L49" s="153" t="str">
        <f t="shared" si="0"/>
        <v>515</v>
      </c>
      <c r="M49" s="154" t="str">
        <f t="shared" si="1"/>
        <v>DIR. GENERAL CARROSS.</v>
      </c>
      <c r="N49" s="155">
        <f>+IF(OR($Q49=Parametres!$G$2,$Q49=Parametres!$G$3),I49,C49)</f>
        <v>0.2</v>
      </c>
      <c r="O49" s="1120">
        <f>+IF(OR($Q49=Parametres!$G$2,$Q49=Parametres!$G$3),J49,D49)</f>
        <v>0</v>
      </c>
      <c r="P49" s="155">
        <f>+IF(OR($Q49=Parametres!$G$2,$Q49=Parametres!$G$3),K49,E49)</f>
        <v>0.2</v>
      </c>
      <c r="Q49" s="154" t="str">
        <f t="shared" si="2"/>
        <v>1-Mémo</v>
      </c>
      <c r="R49" s="153" t="str">
        <f t="shared" si="3"/>
        <v>50</v>
      </c>
      <c r="S49" s="154">
        <f t="shared" si="4"/>
        <v>0</v>
      </c>
      <c r="T49" s="156" t="str">
        <f>+VLOOKUP($L49,Data_Validation!$A:$D,1,0)</f>
        <v>515</v>
      </c>
      <c r="U49" s="156">
        <f>+VLOOKUP($L49,Data_Validation!$A:$D,3,0)</f>
        <v>0</v>
      </c>
      <c r="V49" s="156">
        <f>+VLOOKUP($L49,Data_Validation!$A:$D,4,0)</f>
        <v>0</v>
      </c>
      <c r="W49" s="156" t="str">
        <f>+VLOOKUP($L49,Data_Validation!$A:$E,5,0)</f>
        <v>$</v>
      </c>
      <c r="X49" s="156">
        <f>+VLOOKUP($L49,Data_Validation!$A:$F,6,0)</f>
        <v>0</v>
      </c>
    </row>
    <row r="50" spans="1:24" ht="15" hidden="1" customHeight="1">
      <c r="A50" s="1147" t="s">
        <v>2335</v>
      </c>
      <c r="B50" s="1147" t="s">
        <v>2336</v>
      </c>
      <c r="C50" s="1145"/>
      <c r="D50" s="1145"/>
      <c r="E50" s="1145"/>
      <c r="F50" s="1147" t="s">
        <v>1</v>
      </c>
      <c r="G50" s="1147" t="s">
        <v>2215</v>
      </c>
      <c r="H50" s="1145"/>
      <c r="I50" s="1149">
        <v>0.2</v>
      </c>
      <c r="J50" s="1149">
        <v>0</v>
      </c>
      <c r="K50" s="1149">
        <v>0.2</v>
      </c>
      <c r="L50" s="153" t="str">
        <f t="shared" si="0"/>
        <v>517</v>
      </c>
      <c r="M50" s="154" t="str">
        <f t="shared" si="1"/>
        <v>DIR. GENERAL PIECES</v>
      </c>
      <c r="N50" s="155">
        <f>+IF(OR($Q50=Parametres!$G$2,$Q50=Parametres!$G$3),I50,C50)</f>
        <v>0.2</v>
      </c>
      <c r="O50" s="1122">
        <f>+IF(OR($Q50=Parametres!$G$2,$Q50=Parametres!$G$3),J50,D50)</f>
        <v>0</v>
      </c>
      <c r="P50" s="155">
        <f>+IF(OR($Q50=Parametres!$G$2,$Q50=Parametres!$G$3),K50,E50)</f>
        <v>0.2</v>
      </c>
      <c r="Q50" s="154" t="str">
        <f t="shared" si="2"/>
        <v>1-Mémo</v>
      </c>
      <c r="R50" s="153" t="str">
        <f t="shared" si="3"/>
        <v>50</v>
      </c>
      <c r="S50" s="154">
        <f t="shared" si="4"/>
        <v>0</v>
      </c>
      <c r="T50" s="156" t="str">
        <f>+VLOOKUP($L50,Data_Validation!$A:$D,1,0)</f>
        <v>517</v>
      </c>
      <c r="U50" s="156">
        <f>+VLOOKUP($L50,Data_Validation!$A:$D,3,0)</f>
        <v>0</v>
      </c>
      <c r="V50" s="156">
        <f>+VLOOKUP($L50,Data_Validation!$A:$D,4,0)</f>
        <v>0</v>
      </c>
      <c r="W50" s="156" t="str">
        <f>+VLOOKUP($L50,Data_Validation!$A:$E,5,0)</f>
        <v>$</v>
      </c>
      <c r="X50" s="156">
        <f>+VLOOKUP($L50,Data_Validation!$A:$F,6,0)</f>
        <v>0</v>
      </c>
    </row>
    <row r="51" spans="1:24" ht="15" hidden="1" customHeight="1">
      <c r="A51" s="1147" t="s">
        <v>2337</v>
      </c>
      <c r="B51" s="1147" t="s">
        <v>2338</v>
      </c>
      <c r="C51" s="1145"/>
      <c r="D51" s="1145"/>
      <c r="E51" s="1145"/>
      <c r="F51" s="1147" t="s">
        <v>1</v>
      </c>
      <c r="G51" s="1147" t="s">
        <v>2215</v>
      </c>
      <c r="H51" s="1145"/>
      <c r="I51" s="1149">
        <v>2</v>
      </c>
      <c r="J51" s="1149">
        <v>0</v>
      </c>
      <c r="K51" s="1149">
        <v>2</v>
      </c>
      <c r="L51" s="153" t="str">
        <f t="shared" si="0"/>
        <v>521</v>
      </c>
      <c r="M51" s="154" t="str">
        <f t="shared" si="1"/>
        <v>DIR. SERVICE NEUFS</v>
      </c>
      <c r="N51" s="155">
        <f>+IF(OR($Q51=Parametres!$G$2,$Q51=Parametres!$G$3),I51,C51)</f>
        <v>2</v>
      </c>
      <c r="O51" s="1122">
        <f>+IF(OR($Q51=Parametres!$G$2,$Q51=Parametres!$G$3),J51,D51)</f>
        <v>0</v>
      </c>
      <c r="P51" s="155">
        <f>+IF(OR($Q51=Parametres!$G$2,$Q51=Parametres!$G$3),K51,E51)</f>
        <v>2</v>
      </c>
      <c r="Q51" s="154" t="str">
        <f t="shared" si="2"/>
        <v>1-Mémo</v>
      </c>
      <c r="R51" s="153" t="str">
        <f t="shared" si="3"/>
        <v>50</v>
      </c>
      <c r="S51" s="154">
        <f t="shared" si="4"/>
        <v>0</v>
      </c>
      <c r="T51" s="156" t="str">
        <f>+VLOOKUP($L51,Data_Validation!$A:$D,1,0)</f>
        <v>521</v>
      </c>
      <c r="U51" s="156">
        <f>+VLOOKUP($L51,Data_Validation!$A:$D,3,0)</f>
        <v>0</v>
      </c>
      <c r="V51" s="156">
        <f>+VLOOKUP($L51,Data_Validation!$A:$D,4,0)</f>
        <v>0</v>
      </c>
      <c r="W51" s="156" t="str">
        <f>+VLOOKUP($L51,Data_Validation!$A:$E,5,0)</f>
        <v>$</v>
      </c>
      <c r="X51" s="156">
        <f>+VLOOKUP($L51,Data_Validation!$A:$F,6,0)</f>
        <v>0</v>
      </c>
    </row>
    <row r="52" spans="1:24" ht="15.75" hidden="1" customHeight="1">
      <c r="A52" s="1147" t="s">
        <v>2339</v>
      </c>
      <c r="B52" s="1147" t="s">
        <v>2340</v>
      </c>
      <c r="C52" s="1145"/>
      <c r="D52" s="1145"/>
      <c r="E52" s="1145"/>
      <c r="F52" s="1147" t="s">
        <v>1</v>
      </c>
      <c r="G52" s="1147" t="s">
        <v>2215</v>
      </c>
      <c r="H52" s="1145"/>
      <c r="I52" s="1149">
        <v>1</v>
      </c>
      <c r="J52" s="1149">
        <v>0</v>
      </c>
      <c r="K52" s="1149">
        <v>1</v>
      </c>
      <c r="L52" s="153" t="str">
        <f t="shared" si="0"/>
        <v>522</v>
      </c>
      <c r="M52" s="154" t="str">
        <f t="shared" si="1"/>
        <v>DIR. SERVICE USAGES</v>
      </c>
      <c r="N52" s="155">
        <f>+IF(OR($Q52=Parametres!$G$2,$Q52=Parametres!$G$3),I52,C52)</f>
        <v>1</v>
      </c>
      <c r="O52" s="1122">
        <f>+IF(OR($Q52=Parametres!$G$2,$Q52=Parametres!$G$3),J52,D52)</f>
        <v>0</v>
      </c>
      <c r="P52" s="155">
        <f>+IF(OR($Q52=Parametres!$G$2,$Q52=Parametres!$G$3),K52,E52)</f>
        <v>1</v>
      </c>
      <c r="Q52" s="154" t="str">
        <f t="shared" si="2"/>
        <v>1-Mémo</v>
      </c>
      <c r="R52" s="153" t="str">
        <f t="shared" si="3"/>
        <v>50</v>
      </c>
      <c r="S52" s="154">
        <f t="shared" si="4"/>
        <v>0</v>
      </c>
      <c r="T52" s="156" t="str">
        <f>+VLOOKUP($L52,Data_Validation!$A:$D,1,0)</f>
        <v>522</v>
      </c>
      <c r="U52" s="156">
        <f>+VLOOKUP($L52,Data_Validation!$A:$D,3,0)</f>
        <v>0</v>
      </c>
      <c r="V52" s="156">
        <f>+VLOOKUP($L52,Data_Validation!$A:$D,4,0)</f>
        <v>0</v>
      </c>
      <c r="W52" s="156" t="str">
        <f>+VLOOKUP($L52,Data_Validation!$A:$E,5,0)</f>
        <v>$</v>
      </c>
      <c r="X52" s="156">
        <f>+VLOOKUP($L52,Data_Validation!$A:$F,6,0)</f>
        <v>0</v>
      </c>
    </row>
    <row r="53" spans="1:24" ht="15" hidden="1" customHeight="1">
      <c r="A53" s="1147" t="s">
        <v>2341</v>
      </c>
      <c r="B53" s="1147" t="s">
        <v>2342</v>
      </c>
      <c r="C53" s="1145"/>
      <c r="D53" s="1145"/>
      <c r="E53" s="1145"/>
      <c r="F53" s="1147" t="s">
        <v>1</v>
      </c>
      <c r="G53" s="1147" t="s">
        <v>2215</v>
      </c>
      <c r="H53" s="1145"/>
      <c r="I53" s="1149">
        <v>2</v>
      </c>
      <c r="J53" s="1149">
        <v>0</v>
      </c>
      <c r="K53" s="1149">
        <v>2</v>
      </c>
      <c r="L53" s="153" t="str">
        <f t="shared" si="0"/>
        <v>524</v>
      </c>
      <c r="M53" s="154" t="str">
        <f t="shared" si="1"/>
        <v>DIR. SERVICE SERVICE</v>
      </c>
      <c r="N53" s="155">
        <f>+IF(OR($Q53=Parametres!$G$2,$Q53=Parametres!$G$3),I53,C53)</f>
        <v>2</v>
      </c>
      <c r="O53" s="1122">
        <f>+IF(OR($Q53=Parametres!$G$2,$Q53=Parametres!$G$3),J53,D53)</f>
        <v>0</v>
      </c>
      <c r="P53" s="155">
        <f>+IF(OR($Q53=Parametres!$G$2,$Q53=Parametres!$G$3),K53,E53)</f>
        <v>2</v>
      </c>
      <c r="Q53" s="154" t="str">
        <f t="shared" si="2"/>
        <v>1-Mémo</v>
      </c>
      <c r="R53" s="153" t="str">
        <f t="shared" si="3"/>
        <v>50</v>
      </c>
      <c r="S53" s="154">
        <f t="shared" si="4"/>
        <v>0</v>
      </c>
      <c r="T53" s="156" t="str">
        <f>+VLOOKUP($L53,Data_Validation!$A:$D,1,0)</f>
        <v>524</v>
      </c>
      <c r="U53" s="156">
        <f>+VLOOKUP($L53,Data_Validation!$A:$D,3,0)</f>
        <v>0</v>
      </c>
      <c r="V53" s="156">
        <f>+VLOOKUP($L53,Data_Validation!$A:$D,4,0)</f>
        <v>0</v>
      </c>
      <c r="W53" s="156" t="str">
        <f>+VLOOKUP($L53,Data_Validation!$A:$E,5,0)</f>
        <v>$</v>
      </c>
      <c r="X53" s="156">
        <f>+VLOOKUP($L53,Data_Validation!$A:$F,6,0)</f>
        <v>0</v>
      </c>
    </row>
    <row r="54" spans="1:24" ht="15" hidden="1" customHeight="1">
      <c r="A54" s="1147" t="s">
        <v>2343</v>
      </c>
      <c r="B54" s="1147" t="s">
        <v>2344</v>
      </c>
      <c r="C54" s="1145"/>
      <c r="D54" s="1145"/>
      <c r="E54" s="1145"/>
      <c r="F54" s="1147" t="s">
        <v>1</v>
      </c>
      <c r="G54" s="1147" t="s">
        <v>2215</v>
      </c>
      <c r="H54" s="1145"/>
      <c r="I54" s="1149">
        <v>1</v>
      </c>
      <c r="J54" s="1149">
        <v>0</v>
      </c>
      <c r="K54" s="1149">
        <v>1</v>
      </c>
      <c r="L54" s="153" t="str">
        <f t="shared" si="0"/>
        <v>527</v>
      </c>
      <c r="M54" s="154" t="str">
        <f t="shared" si="1"/>
        <v>DIR. SERVICE PIECES</v>
      </c>
      <c r="N54" s="155">
        <f>+IF(OR($Q54=Parametres!$G$2,$Q54=Parametres!$G$3),I54,C54)</f>
        <v>1</v>
      </c>
      <c r="O54" s="1122">
        <f>+IF(OR($Q54=Parametres!$G$2,$Q54=Parametres!$G$3),J54,D54)</f>
        <v>0</v>
      </c>
      <c r="P54" s="155">
        <f>+IF(OR($Q54=Parametres!$G$2,$Q54=Parametres!$G$3),K54,E54)</f>
        <v>1</v>
      </c>
      <c r="Q54" s="154" t="str">
        <f t="shared" si="2"/>
        <v>1-Mémo</v>
      </c>
      <c r="R54" s="153" t="str">
        <f t="shared" si="3"/>
        <v>50</v>
      </c>
      <c r="S54" s="154">
        <f t="shared" si="4"/>
        <v>0</v>
      </c>
      <c r="T54" s="156" t="str">
        <f>+VLOOKUP($L54,Data_Validation!$A:$D,1,0)</f>
        <v>527</v>
      </c>
      <c r="U54" s="156">
        <f>+VLOOKUP($L54,Data_Validation!$A:$D,3,0)</f>
        <v>0</v>
      </c>
      <c r="V54" s="156">
        <f>+VLOOKUP($L54,Data_Validation!$A:$D,4,0)</f>
        <v>0</v>
      </c>
      <c r="W54" s="156" t="str">
        <f>+VLOOKUP($L54,Data_Validation!$A:$E,5,0)</f>
        <v>$</v>
      </c>
      <c r="X54" s="156">
        <f>+VLOOKUP($L54,Data_Validation!$A:$F,6,0)</f>
        <v>0</v>
      </c>
    </row>
    <row r="55" spans="1:24" ht="15" hidden="1" customHeight="1">
      <c r="A55" s="1147" t="s">
        <v>2345</v>
      </c>
      <c r="B55" s="1147" t="s">
        <v>2346</v>
      </c>
      <c r="C55" s="1145"/>
      <c r="D55" s="1145"/>
      <c r="E55" s="1145"/>
      <c r="F55" s="1147" t="s">
        <v>1</v>
      </c>
      <c r="G55" s="1147" t="s">
        <v>2347</v>
      </c>
      <c r="H55" s="1145"/>
      <c r="I55" s="1149">
        <v>4</v>
      </c>
      <c r="J55" s="1149">
        <v>0</v>
      </c>
      <c r="K55" s="1149">
        <v>4</v>
      </c>
      <c r="L55" s="153" t="str">
        <f t="shared" si="0"/>
        <v>541</v>
      </c>
      <c r="M55" s="154" t="str">
        <f t="shared" si="1"/>
        <v>VW REP. DES VENTES - NEUF</v>
      </c>
      <c r="N55" s="155">
        <f>+IF(OR($Q55=Parametres!$G$2,$Q55=Parametres!$G$3),I55,C55)</f>
        <v>4</v>
      </c>
      <c r="O55" s="1122">
        <f>+IF(OR($Q55=Parametres!$G$2,$Q55=Parametres!$G$3),J55,D55)</f>
        <v>0</v>
      </c>
      <c r="P55" s="155">
        <f>+IF(OR($Q55=Parametres!$G$2,$Q55=Parametres!$G$3),K55,E55)</f>
        <v>4</v>
      </c>
      <c r="Q55" s="154" t="str">
        <f t="shared" si="2"/>
        <v>1-Mémo</v>
      </c>
      <c r="R55" s="153" t="str">
        <f t="shared" si="3"/>
        <v>54</v>
      </c>
      <c r="S55" s="154">
        <f t="shared" si="4"/>
        <v>0</v>
      </c>
      <c r="T55" s="156" t="str">
        <f>+VLOOKUP($L55,Data_Validation!$A:$D,1,0)</f>
        <v>541</v>
      </c>
      <c r="U55" s="156">
        <f>+VLOOKUP($L55,Data_Validation!$A:$D,3,0)</f>
        <v>0</v>
      </c>
      <c r="V55" s="156">
        <f>+VLOOKUP($L55,Data_Validation!$A:$D,4,0)</f>
        <v>0</v>
      </c>
      <c r="W55" s="156" t="str">
        <f>+VLOOKUP($L55,Data_Validation!$A:$E,5,0)</f>
        <v>$</v>
      </c>
      <c r="X55" s="156">
        <f>+VLOOKUP($L55,Data_Validation!$A:$F,6,0)</f>
        <v>0</v>
      </c>
    </row>
    <row r="56" spans="1:24" ht="15.75" hidden="1" customHeight="1">
      <c r="A56" s="1147" t="s">
        <v>2348</v>
      </c>
      <c r="B56" s="1147" t="s">
        <v>2349</v>
      </c>
      <c r="C56" s="1145"/>
      <c r="D56" s="1145"/>
      <c r="E56" s="1145"/>
      <c r="F56" s="1147" t="s">
        <v>1</v>
      </c>
      <c r="G56" s="1147" t="s">
        <v>2215</v>
      </c>
      <c r="H56" s="1145"/>
      <c r="I56" s="1149">
        <v>1</v>
      </c>
      <c r="J56" s="1149">
        <v>0</v>
      </c>
      <c r="K56" s="1149">
        <v>1</v>
      </c>
      <c r="L56" s="153" t="str">
        <f t="shared" si="0"/>
        <v>542</v>
      </c>
      <c r="M56" s="154" t="str">
        <f t="shared" si="1"/>
        <v>VW REP. DES VENTES - OCC.</v>
      </c>
      <c r="N56" s="155">
        <f>+IF(OR($Q56=Parametres!$G$2,$Q56=Parametres!$G$3),I56,C56)</f>
        <v>1</v>
      </c>
      <c r="O56" s="1122">
        <f>+IF(OR($Q56=Parametres!$G$2,$Q56=Parametres!$G$3),J56,D56)</f>
        <v>0</v>
      </c>
      <c r="P56" s="155">
        <f>+IF(OR($Q56=Parametres!$G$2,$Q56=Parametres!$G$3),K56,E56)</f>
        <v>1</v>
      </c>
      <c r="Q56" s="154" t="str">
        <f t="shared" si="2"/>
        <v>1-Mémo</v>
      </c>
      <c r="R56" s="153" t="str">
        <f t="shared" si="3"/>
        <v>50</v>
      </c>
      <c r="S56" s="154">
        <f t="shared" si="4"/>
        <v>0</v>
      </c>
      <c r="T56" s="156" t="str">
        <f>+VLOOKUP($L56,Data_Validation!$A:$D,1,0)</f>
        <v>542</v>
      </c>
      <c r="U56" s="156">
        <f>+VLOOKUP($L56,Data_Validation!$A:$D,3,0)</f>
        <v>0</v>
      </c>
      <c r="V56" s="156">
        <f>+VLOOKUP($L56,Data_Validation!$A:$D,4,0)</f>
        <v>0</v>
      </c>
      <c r="W56" s="156" t="str">
        <f>+VLOOKUP($L56,Data_Validation!$A:$E,5,0)</f>
        <v>$</v>
      </c>
      <c r="X56" s="156">
        <f>+VLOOKUP($L56,Data_Validation!$A:$F,6,0)</f>
        <v>0</v>
      </c>
    </row>
    <row r="57" spans="1:24" ht="15" hidden="1" customHeight="1">
      <c r="A57" s="1147" t="s">
        <v>2350</v>
      </c>
      <c r="B57" s="1147" t="s">
        <v>2351</v>
      </c>
      <c r="C57" s="1145"/>
      <c r="D57" s="1145"/>
      <c r="E57" s="1145"/>
      <c r="F57" s="1147" t="s">
        <v>1</v>
      </c>
      <c r="G57" s="1147" t="s">
        <v>2215</v>
      </c>
      <c r="H57" s="1145"/>
      <c r="I57" s="1149">
        <v>3</v>
      </c>
      <c r="J57" s="1149">
        <v>0</v>
      </c>
      <c r="K57" s="1149">
        <v>3</v>
      </c>
      <c r="L57" s="153" t="str">
        <f t="shared" si="0"/>
        <v>551</v>
      </c>
      <c r="M57" s="154" t="str">
        <f t="shared" si="1"/>
        <v>DIR. COMMERCIAL NEUFS</v>
      </c>
      <c r="N57" s="155">
        <f>+IF(OR($Q57=Parametres!$G$2,$Q57=Parametres!$G$3),I57,C57)</f>
        <v>3</v>
      </c>
      <c r="O57" s="1122">
        <f>+IF(OR($Q57=Parametres!$G$2,$Q57=Parametres!$G$3),J57,D57)</f>
        <v>0</v>
      </c>
      <c r="P57" s="155">
        <f>+IF(OR($Q57=Parametres!$G$2,$Q57=Parametres!$G$3),K57,E57)</f>
        <v>3</v>
      </c>
      <c r="Q57" s="154" t="str">
        <f t="shared" si="2"/>
        <v>1-Mémo</v>
      </c>
      <c r="R57" s="153" t="str">
        <f t="shared" si="3"/>
        <v>50</v>
      </c>
      <c r="S57" s="154">
        <f t="shared" si="4"/>
        <v>0</v>
      </c>
      <c r="T57" s="156" t="str">
        <f>+VLOOKUP($L57,Data_Validation!$A:$D,1,0)</f>
        <v>551</v>
      </c>
      <c r="U57" s="156">
        <f>+VLOOKUP($L57,Data_Validation!$A:$D,3,0)</f>
        <v>0</v>
      </c>
      <c r="V57" s="156">
        <f>+VLOOKUP($L57,Data_Validation!$A:$D,4,0)</f>
        <v>0</v>
      </c>
      <c r="W57" s="156" t="str">
        <f>+VLOOKUP($L57,Data_Validation!$A:$E,5,0)</f>
        <v>$</v>
      </c>
      <c r="X57" s="156">
        <f>+VLOOKUP($L57,Data_Validation!$A:$F,6,0)</f>
        <v>0</v>
      </c>
    </row>
    <row r="58" spans="1:24" ht="15" hidden="1" customHeight="1">
      <c r="A58" s="1147" t="s">
        <v>2352</v>
      </c>
      <c r="B58" s="1147" t="s">
        <v>2353</v>
      </c>
      <c r="C58" s="1145"/>
      <c r="D58" s="1145"/>
      <c r="E58" s="1145"/>
      <c r="F58" s="1147" t="s">
        <v>1</v>
      </c>
      <c r="G58" s="1147" t="s">
        <v>2215</v>
      </c>
      <c r="H58" s="1145"/>
      <c r="I58" s="1149">
        <v>2</v>
      </c>
      <c r="J58" s="1149">
        <v>0</v>
      </c>
      <c r="K58" s="1149">
        <v>2</v>
      </c>
      <c r="L58" s="153" t="str">
        <f t="shared" si="0"/>
        <v>552</v>
      </c>
      <c r="M58" s="154" t="str">
        <f t="shared" si="1"/>
        <v>DIR. COMMERCIAL USAGES</v>
      </c>
      <c r="N58" s="155">
        <f>+IF(OR($Q58=Parametres!$G$2,$Q58=Parametres!$G$3),I58,C58)</f>
        <v>2</v>
      </c>
      <c r="O58" s="1122">
        <f>+IF(OR($Q58=Parametres!$G$2,$Q58=Parametres!$G$3),J58,D58)</f>
        <v>0</v>
      </c>
      <c r="P58" s="155">
        <f>+IF(OR($Q58=Parametres!$G$2,$Q58=Parametres!$G$3),K58,E58)</f>
        <v>2</v>
      </c>
      <c r="Q58" s="154" t="str">
        <f t="shared" si="2"/>
        <v>1-Mémo</v>
      </c>
      <c r="R58" s="153" t="str">
        <f t="shared" si="3"/>
        <v>50</v>
      </c>
      <c r="S58" s="154">
        <f t="shared" si="4"/>
        <v>0</v>
      </c>
      <c r="T58" s="156" t="str">
        <f>+VLOOKUP($L58,Data_Validation!$A:$D,1,0)</f>
        <v>552</v>
      </c>
      <c r="U58" s="156">
        <f>+VLOOKUP($L58,Data_Validation!$A:$D,3,0)</f>
        <v>0</v>
      </c>
      <c r="V58" s="156">
        <f>+VLOOKUP($L58,Data_Validation!$A:$D,4,0)</f>
        <v>0</v>
      </c>
      <c r="W58" s="156" t="str">
        <f>+VLOOKUP($L58,Data_Validation!$A:$E,5,0)</f>
        <v>$</v>
      </c>
      <c r="X58" s="156">
        <f>+VLOOKUP($L58,Data_Validation!$A:$F,6,0)</f>
        <v>0</v>
      </c>
    </row>
    <row r="59" spans="1:24" ht="15" hidden="1" customHeight="1">
      <c r="A59" s="1147" t="s">
        <v>2864</v>
      </c>
      <c r="B59" s="1147" t="s">
        <v>2865</v>
      </c>
      <c r="C59" s="1145"/>
      <c r="D59" s="1145"/>
      <c r="E59" s="1145"/>
      <c r="F59" s="1147" t="s">
        <v>1</v>
      </c>
      <c r="G59" s="1147" t="s">
        <v>2215</v>
      </c>
      <c r="H59" s="1145"/>
      <c r="I59" s="1149">
        <v>1</v>
      </c>
      <c r="J59" s="1149">
        <v>0</v>
      </c>
      <c r="K59" s="1149">
        <v>1</v>
      </c>
      <c r="L59" s="153" t="str">
        <f t="shared" si="0"/>
        <v>564</v>
      </c>
      <c r="M59" s="154" t="str">
        <f t="shared" si="1"/>
        <v>CONTREMAITRE SERVICE</v>
      </c>
      <c r="N59" s="155">
        <f>+IF(OR($Q59=Parametres!$G$2,$Q59=Parametres!$G$3),I59,C59)</f>
        <v>1</v>
      </c>
      <c r="O59" s="1120">
        <f>+IF(OR($Q59=Parametres!$G$2,$Q59=Parametres!$G$3),J59,D59)</f>
        <v>0</v>
      </c>
      <c r="P59" s="155">
        <f>+IF(OR($Q59=Parametres!$G$2,$Q59=Parametres!$G$3),K59,E59)</f>
        <v>1</v>
      </c>
      <c r="Q59" s="154" t="str">
        <f t="shared" si="2"/>
        <v>1-Mémo</v>
      </c>
      <c r="R59" s="153" t="str">
        <f t="shared" si="3"/>
        <v>50</v>
      </c>
      <c r="S59" s="154">
        <f t="shared" si="4"/>
        <v>0</v>
      </c>
      <c r="T59" s="156" t="str">
        <f>+VLOOKUP($L59,Data_Validation!$A:$D,1,0)</f>
        <v>564</v>
      </c>
      <c r="U59" s="156">
        <f>+VLOOKUP($L59,Data_Validation!$A:$D,3,0)</f>
        <v>0</v>
      </c>
      <c r="V59" s="156">
        <f>+VLOOKUP($L59,Data_Validation!$A:$D,4,0)</f>
        <v>0</v>
      </c>
      <c r="W59" s="156" t="str">
        <f>+VLOOKUP($L59,Data_Validation!$A:$E,5,0)</f>
        <v>$</v>
      </c>
      <c r="X59" s="156">
        <f>+VLOOKUP($L59,Data_Validation!$A:$F,6,0)</f>
        <v>0</v>
      </c>
    </row>
    <row r="60" spans="1:24" ht="15" hidden="1" customHeight="1">
      <c r="A60" s="1147" t="s">
        <v>2354</v>
      </c>
      <c r="B60" s="1147" t="s">
        <v>2355</v>
      </c>
      <c r="C60" s="1145"/>
      <c r="D60" s="1145"/>
      <c r="E60" s="1145"/>
      <c r="F60" s="1147" t="s">
        <v>1</v>
      </c>
      <c r="G60" s="1147" t="s">
        <v>2356</v>
      </c>
      <c r="H60" s="1145"/>
      <c r="I60" s="1149">
        <v>4</v>
      </c>
      <c r="J60" s="1149">
        <v>0</v>
      </c>
      <c r="K60" s="1149">
        <v>4</v>
      </c>
      <c r="L60" s="153" t="str">
        <f t="shared" si="0"/>
        <v>614</v>
      </c>
      <c r="M60" s="154" t="str">
        <f t="shared" si="1"/>
        <v>VW CONSEILLERS SERVICE -SERVICE</v>
      </c>
      <c r="N60" s="155">
        <f>+IF(OR($Q60=Parametres!$G$2,$Q60=Parametres!$G$3),I60,C60)</f>
        <v>4</v>
      </c>
      <c r="O60" s="1122">
        <f>+IF(OR($Q60=Parametres!$G$2,$Q60=Parametres!$G$3),J60,D60)</f>
        <v>0</v>
      </c>
      <c r="P60" s="155">
        <f>+IF(OR($Q60=Parametres!$G$2,$Q60=Parametres!$G$3),K60,E60)</f>
        <v>4</v>
      </c>
      <c r="Q60" s="154" t="str">
        <f t="shared" si="2"/>
        <v>1-Mémo</v>
      </c>
      <c r="R60" s="153" t="str">
        <f t="shared" si="3"/>
        <v>61</v>
      </c>
      <c r="S60" s="154">
        <f t="shared" si="4"/>
        <v>0</v>
      </c>
      <c r="T60" s="156" t="str">
        <f>+VLOOKUP($L60,Data_Validation!$A:$D,1,0)</f>
        <v>614</v>
      </c>
      <c r="U60" s="156">
        <f>+VLOOKUP($L60,Data_Validation!$A:$D,3,0)</f>
        <v>0</v>
      </c>
      <c r="V60" s="156">
        <f>+VLOOKUP($L60,Data_Validation!$A:$D,4,0)</f>
        <v>0</v>
      </c>
      <c r="W60" s="156" t="str">
        <f>+VLOOKUP($L60,Data_Validation!$A:$E,5,0)</f>
        <v>$</v>
      </c>
      <c r="X60" s="156">
        <f>+VLOOKUP($L60,Data_Validation!$A:$F,6,0)</f>
        <v>0</v>
      </c>
    </row>
    <row r="61" spans="1:24" ht="15" hidden="1" customHeight="1">
      <c r="A61" s="1147" t="s">
        <v>2357</v>
      </c>
      <c r="B61" s="1147" t="s">
        <v>2358</v>
      </c>
      <c r="C61" s="1145"/>
      <c r="D61" s="1145"/>
      <c r="E61" s="1145"/>
      <c r="F61" s="1147" t="s">
        <v>1</v>
      </c>
      <c r="G61" s="1147" t="s">
        <v>2356</v>
      </c>
      <c r="H61" s="1145"/>
      <c r="I61" s="1149">
        <v>1</v>
      </c>
      <c r="J61" s="1149">
        <v>0</v>
      </c>
      <c r="K61" s="1149">
        <v>1</v>
      </c>
      <c r="L61" s="153" t="str">
        <f t="shared" si="0"/>
        <v>615</v>
      </c>
      <c r="M61" s="154" t="str">
        <f t="shared" si="1"/>
        <v>VW CONSEILLERS SERVICE - PIEC. &amp; CARR.&lt;</v>
      </c>
      <c r="N61" s="155">
        <f>+IF(OR($Q61=Parametres!$G$2,$Q61=Parametres!$G$3),I61,C61)</f>
        <v>1</v>
      </c>
      <c r="O61" s="1122">
        <f>+IF(OR($Q61=Parametres!$G$2,$Q61=Parametres!$G$3),J61,D61)</f>
        <v>0</v>
      </c>
      <c r="P61" s="155">
        <f>+IF(OR($Q61=Parametres!$G$2,$Q61=Parametres!$G$3),K61,E61)</f>
        <v>1</v>
      </c>
      <c r="Q61" s="154" t="str">
        <f t="shared" si="2"/>
        <v>1-Mémo</v>
      </c>
      <c r="R61" s="153" t="str">
        <f t="shared" si="3"/>
        <v>61</v>
      </c>
      <c r="S61" s="154">
        <f t="shared" si="4"/>
        <v>0</v>
      </c>
      <c r="T61" s="156" t="str">
        <f>+VLOOKUP($L61,Data_Validation!$A:$D,1,0)</f>
        <v>615</v>
      </c>
      <c r="U61" s="156">
        <f>+VLOOKUP($L61,Data_Validation!$A:$D,3,0)</f>
        <v>0</v>
      </c>
      <c r="V61" s="156">
        <f>+VLOOKUP($L61,Data_Validation!$A:$D,4,0)</f>
        <v>0</v>
      </c>
      <c r="W61" s="156" t="str">
        <f>+VLOOKUP($L61,Data_Validation!$A:$E,5,0)</f>
        <v>$</v>
      </c>
      <c r="X61" s="156">
        <f>+VLOOKUP($L61,Data_Validation!$A:$F,6,0)</f>
        <v>0</v>
      </c>
    </row>
    <row r="62" spans="1:24" ht="15" hidden="1" customHeight="1">
      <c r="A62" s="1147" t="s">
        <v>2359</v>
      </c>
      <c r="B62" s="1147" t="s">
        <v>2360</v>
      </c>
      <c r="C62" s="1145"/>
      <c r="D62" s="1145"/>
      <c r="E62" s="1145"/>
      <c r="F62" s="1147" t="s">
        <v>1</v>
      </c>
      <c r="G62" s="1147" t="s">
        <v>2215</v>
      </c>
      <c r="H62" s="1145"/>
      <c r="I62" s="1149">
        <v>1</v>
      </c>
      <c r="J62" s="1149">
        <v>0</v>
      </c>
      <c r="K62" s="1149">
        <v>1</v>
      </c>
      <c r="L62" s="153" t="str">
        <f t="shared" si="0"/>
        <v>621</v>
      </c>
      <c r="M62" s="154" t="str">
        <f t="shared" si="1"/>
        <v>LAVEURS NEUFS</v>
      </c>
      <c r="N62" s="155">
        <f>+IF(OR($Q62=Parametres!$G$2,$Q62=Parametres!$G$3),I62,C62)</f>
        <v>1</v>
      </c>
      <c r="O62" s="1122">
        <f>+IF(OR($Q62=Parametres!$G$2,$Q62=Parametres!$G$3),J62,D62)</f>
        <v>0</v>
      </c>
      <c r="P62" s="155">
        <f>+IF(OR($Q62=Parametres!$G$2,$Q62=Parametres!$G$3),K62,E62)</f>
        <v>1</v>
      </c>
      <c r="Q62" s="154" t="str">
        <f t="shared" si="2"/>
        <v>1-Mémo</v>
      </c>
      <c r="R62" s="153" t="str">
        <f t="shared" si="3"/>
        <v>50</v>
      </c>
      <c r="S62" s="154">
        <f t="shared" si="4"/>
        <v>0</v>
      </c>
      <c r="T62" s="156" t="str">
        <f>+VLOOKUP($L62,Data_Validation!$A:$D,1,0)</f>
        <v>621</v>
      </c>
      <c r="U62" s="156">
        <f>+VLOOKUP($L62,Data_Validation!$A:$D,3,0)</f>
        <v>0</v>
      </c>
      <c r="V62" s="156">
        <f>+VLOOKUP($L62,Data_Validation!$A:$D,4,0)</f>
        <v>0</v>
      </c>
      <c r="W62" s="156" t="str">
        <f>+VLOOKUP($L62,Data_Validation!$A:$E,5,0)</f>
        <v>$</v>
      </c>
      <c r="X62" s="156">
        <f>+VLOOKUP($L62,Data_Validation!$A:$F,6,0)</f>
        <v>0</v>
      </c>
    </row>
    <row r="63" spans="1:24" ht="15" hidden="1" customHeight="1">
      <c r="A63" s="1147" t="s">
        <v>2361</v>
      </c>
      <c r="B63" s="1147" t="s">
        <v>2362</v>
      </c>
      <c r="C63" s="1145"/>
      <c r="D63" s="1145"/>
      <c r="E63" s="1145"/>
      <c r="F63" s="1147" t="s">
        <v>1</v>
      </c>
      <c r="G63" s="1147" t="s">
        <v>2215</v>
      </c>
      <c r="H63" s="1145"/>
      <c r="I63" s="1149">
        <v>1</v>
      </c>
      <c r="J63" s="1149">
        <v>0</v>
      </c>
      <c r="K63" s="1149">
        <v>1</v>
      </c>
      <c r="L63" s="153" t="str">
        <f t="shared" si="0"/>
        <v>622</v>
      </c>
      <c r="M63" s="154" t="str">
        <f t="shared" si="1"/>
        <v>LAVEURS USAGES</v>
      </c>
      <c r="N63" s="155">
        <f>+IF(OR($Q63=Parametres!$G$2,$Q63=Parametres!$G$3),I63,C63)</f>
        <v>1</v>
      </c>
      <c r="O63" s="1120">
        <f>+IF(OR($Q63=Parametres!$G$2,$Q63=Parametres!$G$3),J63,D63)</f>
        <v>0</v>
      </c>
      <c r="P63" s="155">
        <f>+IF(OR($Q63=Parametres!$G$2,$Q63=Parametres!$G$3),K63,E63)</f>
        <v>1</v>
      </c>
      <c r="Q63" s="154" t="str">
        <f t="shared" si="2"/>
        <v>1-Mémo</v>
      </c>
      <c r="R63" s="153" t="str">
        <f t="shared" si="3"/>
        <v>50</v>
      </c>
      <c r="S63" s="154">
        <f t="shared" si="4"/>
        <v>0</v>
      </c>
      <c r="T63" s="156" t="str">
        <f>+VLOOKUP($L63,Data_Validation!$A:$D,1,0)</f>
        <v>622</v>
      </c>
      <c r="U63" s="156">
        <f>+VLOOKUP($L63,Data_Validation!$A:$D,3,0)</f>
        <v>0</v>
      </c>
      <c r="V63" s="156">
        <f>+VLOOKUP($L63,Data_Validation!$A:$D,4,0)</f>
        <v>0</v>
      </c>
      <c r="W63" s="156" t="str">
        <f>+VLOOKUP($L63,Data_Validation!$A:$E,5,0)</f>
        <v>$</v>
      </c>
      <c r="X63" s="156">
        <f>+VLOOKUP($L63,Data_Validation!$A:$F,6,0)</f>
        <v>0</v>
      </c>
    </row>
    <row r="64" spans="1:24" ht="15" hidden="1" customHeight="1">
      <c r="A64" s="1147" t="s">
        <v>2363</v>
      </c>
      <c r="B64" s="1147" t="s">
        <v>2364</v>
      </c>
      <c r="C64" s="1145"/>
      <c r="D64" s="1145"/>
      <c r="E64" s="1145"/>
      <c r="F64" s="1147" t="s">
        <v>1</v>
      </c>
      <c r="G64" s="1147" t="s">
        <v>2215</v>
      </c>
      <c r="H64" s="1145"/>
      <c r="I64" s="1149">
        <v>9</v>
      </c>
      <c r="J64" s="1149">
        <v>0</v>
      </c>
      <c r="K64" s="1149">
        <v>9</v>
      </c>
      <c r="L64" s="153" t="str">
        <f t="shared" si="0"/>
        <v>624</v>
      </c>
      <c r="M64" s="154" t="str">
        <f t="shared" si="1"/>
        <v>LAVEURS SERVICE</v>
      </c>
      <c r="N64" s="155">
        <f>+IF(OR($Q64=Parametres!$G$2,$Q64=Parametres!$G$3),I64,C64)</f>
        <v>9</v>
      </c>
      <c r="O64" s="1122">
        <f>+IF(OR($Q64=Parametres!$G$2,$Q64=Parametres!$G$3),J64,D64)</f>
        <v>0</v>
      </c>
      <c r="P64" s="155">
        <f>+IF(OR($Q64=Parametres!$G$2,$Q64=Parametres!$G$3),K64,E64)</f>
        <v>9</v>
      </c>
      <c r="Q64" s="154" t="str">
        <f t="shared" si="2"/>
        <v>1-Mémo</v>
      </c>
      <c r="R64" s="153" t="str">
        <f t="shared" si="3"/>
        <v>50</v>
      </c>
      <c r="S64" s="154">
        <f t="shared" si="4"/>
        <v>0</v>
      </c>
      <c r="T64" s="156" t="str">
        <f>+VLOOKUP($L64,Data_Validation!$A:$D,1,0)</f>
        <v>624</v>
      </c>
      <c r="U64" s="156">
        <f>+VLOOKUP($L64,Data_Validation!$A:$D,3,0)</f>
        <v>0</v>
      </c>
      <c r="V64" s="156">
        <f>+VLOOKUP($L64,Data_Validation!$A:$D,4,0)</f>
        <v>0</v>
      </c>
      <c r="W64" s="156" t="str">
        <f>+VLOOKUP($L64,Data_Validation!$A:$E,5,0)</f>
        <v>$</v>
      </c>
      <c r="X64" s="156">
        <f>+VLOOKUP($L64,Data_Validation!$A:$F,6,0)</f>
        <v>0</v>
      </c>
    </row>
    <row r="65" spans="1:24" ht="15" hidden="1" customHeight="1">
      <c r="A65" s="1147" t="s">
        <v>2365</v>
      </c>
      <c r="B65" s="1147" t="s">
        <v>2366</v>
      </c>
      <c r="C65" s="1145"/>
      <c r="D65" s="1145"/>
      <c r="E65" s="1145"/>
      <c r="F65" s="1147" t="s">
        <v>1</v>
      </c>
      <c r="G65" s="1147" t="s">
        <v>2367</v>
      </c>
      <c r="H65" s="1145"/>
      <c r="I65" s="1149">
        <v>12</v>
      </c>
      <c r="J65" s="1149">
        <v>0</v>
      </c>
      <c r="K65" s="1149">
        <v>12</v>
      </c>
      <c r="L65" s="153" t="str">
        <f t="shared" si="0"/>
        <v>644</v>
      </c>
      <c r="M65" s="154" t="str">
        <f t="shared" si="1"/>
        <v>VW TECHNICIENS - SERVICE</v>
      </c>
      <c r="N65" s="155">
        <f>+IF(OR($Q65=Parametres!$G$2,$Q65=Parametres!$G$3),I65,C65)</f>
        <v>12</v>
      </c>
      <c r="O65" s="1120">
        <f>+IF(OR($Q65=Parametres!$G$2,$Q65=Parametres!$G$3),J65,D65)</f>
        <v>0</v>
      </c>
      <c r="P65" s="155">
        <f>+IF(OR($Q65=Parametres!$G$2,$Q65=Parametres!$G$3),K65,E65)</f>
        <v>12</v>
      </c>
      <c r="Q65" s="154" t="str">
        <f t="shared" si="2"/>
        <v>1-Mémo</v>
      </c>
      <c r="R65" s="153" t="str">
        <f t="shared" si="3"/>
        <v>64</v>
      </c>
      <c r="S65" s="154">
        <f t="shared" si="4"/>
        <v>0</v>
      </c>
      <c r="T65" s="156" t="str">
        <f>+VLOOKUP($L65,Data_Validation!$A:$D,1,0)</f>
        <v>644</v>
      </c>
      <c r="U65" s="156">
        <f>+VLOOKUP($L65,Data_Validation!$A:$D,3,0)</f>
        <v>0</v>
      </c>
      <c r="V65" s="156">
        <f>+VLOOKUP($L65,Data_Validation!$A:$D,4,0)</f>
        <v>0</v>
      </c>
      <c r="W65" s="156" t="str">
        <f>+VLOOKUP($L65,Data_Validation!$A:$E,5,0)</f>
        <v>$</v>
      </c>
      <c r="X65" s="156">
        <f>+VLOOKUP($L65,Data_Validation!$A:$F,6,0)</f>
        <v>0</v>
      </c>
    </row>
    <row r="66" spans="1:24" ht="15" hidden="1" customHeight="1">
      <c r="A66" s="1147" t="s">
        <v>2368</v>
      </c>
      <c r="B66" s="1147" t="s">
        <v>2369</v>
      </c>
      <c r="C66" s="1145"/>
      <c r="D66" s="1145"/>
      <c r="E66" s="1145"/>
      <c r="F66" s="1147" t="s">
        <v>1</v>
      </c>
      <c r="G66" s="1147" t="s">
        <v>2215</v>
      </c>
      <c r="H66" s="1145"/>
      <c r="I66" s="1149">
        <v>0.2</v>
      </c>
      <c r="J66" s="1149">
        <v>0</v>
      </c>
      <c r="K66" s="1149">
        <v>0.2</v>
      </c>
      <c r="L66" s="153" t="str">
        <f t="shared" ref="L66:L129" si="5">+B66</f>
        <v>651</v>
      </c>
      <c r="M66" s="154" t="str">
        <f t="shared" ref="M66:M129" si="6">+A66</f>
        <v>DIR. ADMINIS. NEUFS</v>
      </c>
      <c r="N66" s="155">
        <f>+IF(OR($Q66=Parametres!$G$2,$Q66=Parametres!$G$3),I66,C66)</f>
        <v>0.2</v>
      </c>
      <c r="O66" s="1122">
        <f>+IF(OR($Q66=Parametres!$G$2,$Q66=Parametres!$G$3),J66,D66)</f>
        <v>0</v>
      </c>
      <c r="P66" s="155">
        <f>+IF(OR($Q66=Parametres!$G$2,$Q66=Parametres!$G$3),K66,E66)</f>
        <v>0.2</v>
      </c>
      <c r="Q66" s="154" t="str">
        <f t="shared" ref="Q66:Q129" si="7">+F66</f>
        <v>1-Mémo</v>
      </c>
      <c r="R66" s="153" t="str">
        <f t="shared" ref="R66:R129" si="8">+G66</f>
        <v>50</v>
      </c>
      <c r="S66" s="154">
        <f t="shared" ref="S66:S129" si="9">+H66</f>
        <v>0</v>
      </c>
      <c r="T66" s="156" t="str">
        <f>+VLOOKUP($L66,Data_Validation!$A:$D,1,0)</f>
        <v>651</v>
      </c>
      <c r="U66" s="156">
        <f>+VLOOKUP($L66,Data_Validation!$A:$D,3,0)</f>
        <v>0</v>
      </c>
      <c r="V66" s="156">
        <f>+VLOOKUP($L66,Data_Validation!$A:$D,4,0)</f>
        <v>0</v>
      </c>
      <c r="W66" s="156" t="str">
        <f>+VLOOKUP($L66,Data_Validation!$A:$E,5,0)</f>
        <v>$</v>
      </c>
      <c r="X66" s="156">
        <f>+VLOOKUP($L66,Data_Validation!$A:$F,6,0)</f>
        <v>0</v>
      </c>
    </row>
    <row r="67" spans="1:24" ht="15" hidden="1" customHeight="1">
      <c r="A67" s="1147" t="s">
        <v>2370</v>
      </c>
      <c r="B67" s="1147" t="s">
        <v>2371</v>
      </c>
      <c r="C67" s="1145"/>
      <c r="D67" s="1145"/>
      <c r="E67" s="1145"/>
      <c r="F67" s="1147" t="s">
        <v>1</v>
      </c>
      <c r="G67" s="1147" t="s">
        <v>2215</v>
      </c>
      <c r="H67" s="1145"/>
      <c r="I67" s="1149">
        <v>0.2</v>
      </c>
      <c r="J67" s="1149">
        <v>0</v>
      </c>
      <c r="K67" s="1149">
        <v>0.2</v>
      </c>
      <c r="L67" s="153" t="str">
        <f t="shared" si="5"/>
        <v>652</v>
      </c>
      <c r="M67" s="154" t="str">
        <f t="shared" si="6"/>
        <v>DIR. ADMINIS. USAGES</v>
      </c>
      <c r="N67" s="155">
        <f>+IF(OR($Q67=Parametres!$G$2,$Q67=Parametres!$G$3),I67,C67)</f>
        <v>0.2</v>
      </c>
      <c r="O67" s="1122">
        <f>+IF(OR($Q67=Parametres!$G$2,$Q67=Parametres!$G$3),J67,D67)</f>
        <v>0</v>
      </c>
      <c r="P67" s="155">
        <f>+IF(OR($Q67=Parametres!$G$2,$Q67=Parametres!$G$3),K67,E67)</f>
        <v>0.2</v>
      </c>
      <c r="Q67" s="154" t="str">
        <f t="shared" si="7"/>
        <v>1-Mémo</v>
      </c>
      <c r="R67" s="153" t="str">
        <f t="shared" si="8"/>
        <v>50</v>
      </c>
      <c r="S67" s="154">
        <f t="shared" si="9"/>
        <v>0</v>
      </c>
      <c r="T67" s="156" t="str">
        <f>+VLOOKUP($L67,Data_Validation!$A:$D,1,0)</f>
        <v>652</v>
      </c>
      <c r="U67" s="156">
        <f>+VLOOKUP($L67,Data_Validation!$A:$D,3,0)</f>
        <v>0</v>
      </c>
      <c r="V67" s="156">
        <f>+VLOOKUP($L67,Data_Validation!$A:$D,4,0)</f>
        <v>0</v>
      </c>
      <c r="W67" s="156" t="str">
        <f>+VLOOKUP($L67,Data_Validation!$A:$E,5,0)</f>
        <v>$</v>
      </c>
      <c r="X67" s="156">
        <f>+VLOOKUP($L67,Data_Validation!$A:$F,6,0)</f>
        <v>0</v>
      </c>
    </row>
    <row r="68" spans="1:24" ht="15" hidden="1" customHeight="1">
      <c r="A68" s="1147" t="s">
        <v>2372</v>
      </c>
      <c r="B68" s="1147" t="s">
        <v>2373</v>
      </c>
      <c r="C68" s="1145"/>
      <c r="D68" s="1145"/>
      <c r="E68" s="1145"/>
      <c r="F68" s="1147" t="s">
        <v>1</v>
      </c>
      <c r="G68" s="1147" t="s">
        <v>2215</v>
      </c>
      <c r="H68" s="1145"/>
      <c r="I68" s="1149">
        <v>0.2</v>
      </c>
      <c r="J68" s="1149">
        <v>0</v>
      </c>
      <c r="K68" s="1149">
        <v>0.2</v>
      </c>
      <c r="L68" s="153" t="str">
        <f t="shared" si="5"/>
        <v>654</v>
      </c>
      <c r="M68" s="154" t="str">
        <f t="shared" si="6"/>
        <v>DIR. ADMINIS. SERVICE</v>
      </c>
      <c r="N68" s="155">
        <f>+IF(OR($Q68=Parametres!$G$2,$Q68=Parametres!$G$3),I68,C68)</f>
        <v>0.2</v>
      </c>
      <c r="O68" s="1120">
        <f>+IF(OR($Q68=Parametres!$G$2,$Q68=Parametres!$G$3),J68,D68)</f>
        <v>0</v>
      </c>
      <c r="P68" s="155">
        <f>+IF(OR($Q68=Parametres!$G$2,$Q68=Parametres!$G$3),K68,E68)</f>
        <v>0.2</v>
      </c>
      <c r="Q68" s="154" t="str">
        <f t="shared" si="7"/>
        <v>1-Mémo</v>
      </c>
      <c r="R68" s="153" t="str">
        <f t="shared" si="8"/>
        <v>50</v>
      </c>
      <c r="S68" s="154">
        <f t="shared" si="9"/>
        <v>0</v>
      </c>
      <c r="T68" s="156" t="str">
        <f>+VLOOKUP($L68,Data_Validation!$A:$D,1,0)</f>
        <v>654</v>
      </c>
      <c r="U68" s="156">
        <f>+VLOOKUP($L68,Data_Validation!$A:$D,3,0)</f>
        <v>0</v>
      </c>
      <c r="V68" s="156">
        <f>+VLOOKUP($L68,Data_Validation!$A:$D,4,0)</f>
        <v>0</v>
      </c>
      <c r="W68" s="156" t="str">
        <f>+VLOOKUP($L68,Data_Validation!$A:$E,5,0)</f>
        <v>$</v>
      </c>
      <c r="X68" s="156">
        <f>+VLOOKUP($L68,Data_Validation!$A:$F,6,0)</f>
        <v>0</v>
      </c>
    </row>
    <row r="69" spans="1:24" ht="15" hidden="1" customHeight="1">
      <c r="A69" s="1147" t="s">
        <v>2374</v>
      </c>
      <c r="B69" s="1147" t="s">
        <v>2375</v>
      </c>
      <c r="C69" s="1145"/>
      <c r="D69" s="1145"/>
      <c r="E69" s="1145"/>
      <c r="F69" s="1147" t="s">
        <v>1</v>
      </c>
      <c r="G69" s="1147" t="s">
        <v>2215</v>
      </c>
      <c r="H69" s="1145"/>
      <c r="I69" s="1149">
        <v>0.2</v>
      </c>
      <c r="J69" s="1149">
        <v>0</v>
      </c>
      <c r="K69" s="1149">
        <v>0.2</v>
      </c>
      <c r="L69" s="153" t="str">
        <f t="shared" si="5"/>
        <v>655</v>
      </c>
      <c r="M69" s="154" t="str">
        <f t="shared" si="6"/>
        <v>DIR. ADMINIS. CARROSS.</v>
      </c>
      <c r="N69" s="155">
        <f>+IF(OR($Q69=Parametres!$G$2,$Q69=Parametres!$G$3),I69,C69)</f>
        <v>0.2</v>
      </c>
      <c r="O69" s="1122">
        <f>+IF(OR($Q69=Parametres!$G$2,$Q69=Parametres!$G$3),J69,D69)</f>
        <v>0</v>
      </c>
      <c r="P69" s="155">
        <f>+IF(OR($Q69=Parametres!$G$2,$Q69=Parametres!$G$3),K69,E69)</f>
        <v>0.2</v>
      </c>
      <c r="Q69" s="154" t="str">
        <f t="shared" si="7"/>
        <v>1-Mémo</v>
      </c>
      <c r="R69" s="153" t="str">
        <f t="shared" si="8"/>
        <v>50</v>
      </c>
      <c r="S69" s="154">
        <f t="shared" si="9"/>
        <v>0</v>
      </c>
      <c r="T69" s="156" t="str">
        <f>+VLOOKUP($L69,Data_Validation!$A:$D,1,0)</f>
        <v>655</v>
      </c>
      <c r="U69" s="156">
        <f>+VLOOKUP($L69,Data_Validation!$A:$D,3,0)</f>
        <v>0</v>
      </c>
      <c r="V69" s="156">
        <f>+VLOOKUP($L69,Data_Validation!$A:$D,4,0)</f>
        <v>0</v>
      </c>
      <c r="W69" s="156" t="str">
        <f>+VLOOKUP($L69,Data_Validation!$A:$E,5,0)</f>
        <v>$</v>
      </c>
      <c r="X69" s="156">
        <f>+VLOOKUP($L69,Data_Validation!$A:$F,6,0)</f>
        <v>0</v>
      </c>
    </row>
    <row r="70" spans="1:24" ht="15" hidden="1" customHeight="1">
      <c r="A70" s="1147" t="s">
        <v>2376</v>
      </c>
      <c r="B70" s="1147" t="s">
        <v>2377</v>
      </c>
      <c r="C70" s="1145"/>
      <c r="D70" s="1145"/>
      <c r="E70" s="1145"/>
      <c r="F70" s="1147" t="s">
        <v>1</v>
      </c>
      <c r="G70" s="1147" t="s">
        <v>2215</v>
      </c>
      <c r="H70" s="1145"/>
      <c r="I70" s="1149">
        <v>0.2</v>
      </c>
      <c r="J70" s="1149">
        <v>0</v>
      </c>
      <c r="K70" s="1149">
        <v>0.2</v>
      </c>
      <c r="L70" s="153" t="str">
        <f t="shared" si="5"/>
        <v>657</v>
      </c>
      <c r="M70" s="154" t="str">
        <f t="shared" si="6"/>
        <v>DIR. ADMINIS. PIECES</v>
      </c>
      <c r="N70" s="155">
        <f>+IF(OR($Q70=Parametres!$G$2,$Q70=Parametres!$G$3),I70,C70)</f>
        <v>0.2</v>
      </c>
      <c r="O70" s="1122">
        <f>+IF(OR($Q70=Parametres!$G$2,$Q70=Parametres!$G$3),J70,D70)</f>
        <v>0</v>
      </c>
      <c r="P70" s="155">
        <f>+IF(OR($Q70=Parametres!$G$2,$Q70=Parametres!$G$3),K70,E70)</f>
        <v>0.2</v>
      </c>
      <c r="Q70" s="154" t="str">
        <f t="shared" si="7"/>
        <v>1-Mémo</v>
      </c>
      <c r="R70" s="153" t="str">
        <f t="shared" si="8"/>
        <v>50</v>
      </c>
      <c r="S70" s="154">
        <f t="shared" si="9"/>
        <v>0</v>
      </c>
      <c r="T70" s="156" t="str">
        <f>+VLOOKUP($L70,Data_Validation!$A:$D,1,0)</f>
        <v>657</v>
      </c>
      <c r="U70" s="156">
        <f>+VLOOKUP($L70,Data_Validation!$A:$D,3,0)</f>
        <v>0</v>
      </c>
      <c r="V70" s="156">
        <f>+VLOOKUP($L70,Data_Validation!$A:$D,4,0)</f>
        <v>0</v>
      </c>
      <c r="W70" s="156" t="str">
        <f>+VLOOKUP($L70,Data_Validation!$A:$E,5,0)</f>
        <v>$</v>
      </c>
      <c r="X70" s="156">
        <f>+VLOOKUP($L70,Data_Validation!$A:$F,6,0)</f>
        <v>0</v>
      </c>
    </row>
    <row r="71" spans="1:24" ht="15" hidden="1" customHeight="1">
      <c r="A71" s="1147" t="s">
        <v>2378</v>
      </c>
      <c r="B71" s="1147" t="s">
        <v>2379</v>
      </c>
      <c r="C71" s="1145"/>
      <c r="D71" s="1145"/>
      <c r="E71" s="1145"/>
      <c r="F71" s="1147" t="s">
        <v>1</v>
      </c>
      <c r="G71" s="1147" t="s">
        <v>2215</v>
      </c>
      <c r="H71" s="1145"/>
      <c r="I71" s="1149">
        <v>1</v>
      </c>
      <c r="J71" s="1149">
        <v>0</v>
      </c>
      <c r="K71" s="1149">
        <v>1</v>
      </c>
      <c r="L71" s="153" t="str">
        <f t="shared" si="5"/>
        <v>661</v>
      </c>
      <c r="M71" s="154" t="str">
        <f t="shared" si="6"/>
        <v>PERSONELS CLER. NEUFS</v>
      </c>
      <c r="N71" s="155">
        <f>+IF(OR($Q71=Parametres!$G$2,$Q71=Parametres!$G$3),I71,C71)</f>
        <v>1</v>
      </c>
      <c r="O71" s="1122">
        <f>+IF(OR($Q71=Parametres!$G$2,$Q71=Parametres!$G$3),J71,D71)</f>
        <v>0</v>
      </c>
      <c r="P71" s="155">
        <f>+IF(OR($Q71=Parametres!$G$2,$Q71=Parametres!$G$3),K71,E71)</f>
        <v>1</v>
      </c>
      <c r="Q71" s="154" t="str">
        <f t="shared" si="7"/>
        <v>1-Mémo</v>
      </c>
      <c r="R71" s="153" t="str">
        <f t="shared" si="8"/>
        <v>50</v>
      </c>
      <c r="S71" s="154">
        <f t="shared" si="9"/>
        <v>0</v>
      </c>
      <c r="T71" s="156" t="str">
        <f>+VLOOKUP($L71,Data_Validation!$A:$D,1,0)</f>
        <v>661</v>
      </c>
      <c r="U71" s="156">
        <f>+VLOOKUP($L71,Data_Validation!$A:$D,3,0)</f>
        <v>0</v>
      </c>
      <c r="V71" s="156">
        <f>+VLOOKUP($L71,Data_Validation!$A:$D,4,0)</f>
        <v>0</v>
      </c>
      <c r="W71" s="156" t="str">
        <f>+VLOOKUP($L71,Data_Validation!$A:$E,5,0)</f>
        <v>$</v>
      </c>
      <c r="X71" s="156">
        <f>+VLOOKUP($L71,Data_Validation!$A:$F,6,0)</f>
        <v>0</v>
      </c>
    </row>
    <row r="72" spans="1:24" ht="15" hidden="1" customHeight="1">
      <c r="A72" s="1147" t="s">
        <v>2380</v>
      </c>
      <c r="B72" s="1147" t="s">
        <v>2381</v>
      </c>
      <c r="C72" s="1145"/>
      <c r="D72" s="1145"/>
      <c r="E72" s="1145"/>
      <c r="F72" s="1147" t="s">
        <v>1</v>
      </c>
      <c r="G72" s="1147" t="s">
        <v>2215</v>
      </c>
      <c r="H72" s="1145"/>
      <c r="I72" s="1149">
        <v>1</v>
      </c>
      <c r="J72" s="1149">
        <v>0</v>
      </c>
      <c r="K72" s="1149">
        <v>1</v>
      </c>
      <c r="L72" s="153" t="str">
        <f t="shared" si="5"/>
        <v>662</v>
      </c>
      <c r="M72" s="154" t="str">
        <f t="shared" si="6"/>
        <v>PERSONELS CLER. USAGES</v>
      </c>
      <c r="N72" s="155">
        <f>+IF(OR($Q72=Parametres!$G$2,$Q72=Parametres!$G$3),I72,C72)</f>
        <v>1</v>
      </c>
      <c r="O72" s="1120">
        <f>+IF(OR($Q72=Parametres!$G$2,$Q72=Parametres!$G$3),J72,D72)</f>
        <v>0</v>
      </c>
      <c r="P72" s="155">
        <f>+IF(OR($Q72=Parametres!$G$2,$Q72=Parametres!$G$3),K72,E72)</f>
        <v>1</v>
      </c>
      <c r="Q72" s="154" t="str">
        <f t="shared" si="7"/>
        <v>1-Mémo</v>
      </c>
      <c r="R72" s="153" t="str">
        <f t="shared" si="8"/>
        <v>50</v>
      </c>
      <c r="S72" s="154">
        <f t="shared" si="9"/>
        <v>0</v>
      </c>
      <c r="T72" s="156" t="str">
        <f>+VLOOKUP($L72,Data_Validation!$A:$D,1,0)</f>
        <v>662</v>
      </c>
      <c r="U72" s="156">
        <f>+VLOOKUP($L72,Data_Validation!$A:$D,3,0)</f>
        <v>0</v>
      </c>
      <c r="V72" s="156">
        <f>+VLOOKUP($L72,Data_Validation!$A:$D,4,0)</f>
        <v>0</v>
      </c>
      <c r="W72" s="156" t="str">
        <f>+VLOOKUP($L72,Data_Validation!$A:$E,5,0)</f>
        <v>$</v>
      </c>
      <c r="X72" s="156">
        <f>+VLOOKUP($L72,Data_Validation!$A:$F,6,0)</f>
        <v>0</v>
      </c>
    </row>
    <row r="73" spans="1:24" ht="15" hidden="1" customHeight="1">
      <c r="A73" s="1147" t="s">
        <v>2382</v>
      </c>
      <c r="B73" s="1147" t="s">
        <v>2383</v>
      </c>
      <c r="C73" s="1145"/>
      <c r="D73" s="1145"/>
      <c r="E73" s="1145"/>
      <c r="F73" s="1147" t="s">
        <v>1</v>
      </c>
      <c r="G73" s="1147" t="s">
        <v>2215</v>
      </c>
      <c r="H73" s="1145"/>
      <c r="I73" s="1149">
        <v>1</v>
      </c>
      <c r="J73" s="1149">
        <v>0</v>
      </c>
      <c r="K73" s="1149">
        <v>1</v>
      </c>
      <c r="L73" s="153" t="str">
        <f t="shared" si="5"/>
        <v>664</v>
      </c>
      <c r="M73" s="154" t="str">
        <f t="shared" si="6"/>
        <v>PERSONELS CLER. SERVICE</v>
      </c>
      <c r="N73" s="155">
        <f>+IF(OR($Q73=Parametres!$G$2,$Q73=Parametres!$G$3),I73,C73)</f>
        <v>1</v>
      </c>
      <c r="O73" s="1122">
        <f>+IF(OR($Q73=Parametres!$G$2,$Q73=Parametres!$G$3),J73,D73)</f>
        <v>0</v>
      </c>
      <c r="P73" s="155">
        <f>+IF(OR($Q73=Parametres!$G$2,$Q73=Parametres!$G$3),K73,E73)</f>
        <v>1</v>
      </c>
      <c r="Q73" s="154" t="str">
        <f t="shared" si="7"/>
        <v>1-Mémo</v>
      </c>
      <c r="R73" s="153" t="str">
        <f t="shared" si="8"/>
        <v>50</v>
      </c>
      <c r="S73" s="154">
        <f t="shared" si="9"/>
        <v>0</v>
      </c>
      <c r="T73" s="156" t="str">
        <f>+VLOOKUP($L73,Data_Validation!$A:$D,1,0)</f>
        <v>664</v>
      </c>
      <c r="U73" s="156">
        <f>+VLOOKUP($L73,Data_Validation!$A:$D,3,0)</f>
        <v>0</v>
      </c>
      <c r="V73" s="156">
        <f>+VLOOKUP($L73,Data_Validation!$A:$D,4,0)</f>
        <v>0</v>
      </c>
      <c r="W73" s="156" t="str">
        <f>+VLOOKUP($L73,Data_Validation!$A:$E,5,0)</f>
        <v>$</v>
      </c>
      <c r="X73" s="156">
        <f>+VLOOKUP($L73,Data_Validation!$A:$F,6,0)</f>
        <v>0</v>
      </c>
    </row>
    <row r="74" spans="1:24" ht="15" hidden="1" customHeight="1">
      <c r="A74" s="1147" t="s">
        <v>2384</v>
      </c>
      <c r="B74" s="1147" t="s">
        <v>2385</v>
      </c>
      <c r="C74" s="1145"/>
      <c r="D74" s="1145"/>
      <c r="E74" s="1145"/>
      <c r="F74" s="1147" t="s">
        <v>1</v>
      </c>
      <c r="G74" s="1147" t="s">
        <v>2215</v>
      </c>
      <c r="H74" s="1145"/>
      <c r="I74" s="1149">
        <v>1</v>
      </c>
      <c r="J74" s="1149">
        <v>0</v>
      </c>
      <c r="K74" s="1149">
        <v>1</v>
      </c>
      <c r="L74" s="153" t="str">
        <f t="shared" si="5"/>
        <v>667</v>
      </c>
      <c r="M74" s="154" t="str">
        <f t="shared" si="6"/>
        <v>PERSONELS CLER. PIECES</v>
      </c>
      <c r="N74" s="155">
        <f>+IF(OR($Q74=Parametres!$G$2,$Q74=Parametres!$G$3),I74,C74)</f>
        <v>1</v>
      </c>
      <c r="O74" s="1122">
        <f>+IF(OR($Q74=Parametres!$G$2,$Q74=Parametres!$G$3),J74,D74)</f>
        <v>0</v>
      </c>
      <c r="P74" s="155">
        <f>+IF(OR($Q74=Parametres!$G$2,$Q74=Parametres!$G$3),K74,E74)</f>
        <v>1</v>
      </c>
      <c r="Q74" s="154" t="str">
        <f t="shared" si="7"/>
        <v>1-Mémo</v>
      </c>
      <c r="R74" s="153" t="str">
        <f t="shared" si="8"/>
        <v>50</v>
      </c>
      <c r="S74" s="154">
        <f t="shared" si="9"/>
        <v>0</v>
      </c>
      <c r="T74" s="156" t="str">
        <f>+VLOOKUP($L74,Data_Validation!$A:$D,1,0)</f>
        <v>667</v>
      </c>
      <c r="U74" s="156">
        <f>+VLOOKUP($L74,Data_Validation!$A:$D,3,0)</f>
        <v>0</v>
      </c>
      <c r="V74" s="156">
        <f>+VLOOKUP($L74,Data_Validation!$A:$D,4,0)</f>
        <v>0</v>
      </c>
      <c r="W74" s="156" t="str">
        <f>+VLOOKUP($L74,Data_Validation!$A:$E,5,0)</f>
        <v>$</v>
      </c>
      <c r="X74" s="156">
        <f>+VLOOKUP($L74,Data_Validation!$A:$F,6,0)</f>
        <v>0</v>
      </c>
    </row>
    <row r="75" spans="1:24" ht="15" hidden="1" customHeight="1">
      <c r="A75" s="1147" t="s">
        <v>2386</v>
      </c>
      <c r="B75" s="1147" t="s">
        <v>2387</v>
      </c>
      <c r="C75" s="1145"/>
      <c r="D75" s="1145"/>
      <c r="E75" s="1145"/>
      <c r="F75" s="1147" t="s">
        <v>1</v>
      </c>
      <c r="G75" s="1147" t="s">
        <v>2388</v>
      </c>
      <c r="H75" s="1145"/>
      <c r="I75" s="1149">
        <v>3</v>
      </c>
      <c r="J75" s="1149">
        <v>0</v>
      </c>
      <c r="K75" s="1149">
        <v>3</v>
      </c>
      <c r="L75" s="153" t="str">
        <f t="shared" si="5"/>
        <v>677</v>
      </c>
      <c r="M75" s="154" t="str">
        <f t="shared" si="6"/>
        <v>VW PIECES</v>
      </c>
      <c r="N75" s="155">
        <f>+IF(OR($Q75=Parametres!$G$2,$Q75=Parametres!$G$3),I75,C75)</f>
        <v>3</v>
      </c>
      <c r="O75" s="1122">
        <f>+IF(OR($Q75=Parametres!$G$2,$Q75=Parametres!$G$3),J75,D75)</f>
        <v>0</v>
      </c>
      <c r="P75" s="155">
        <f>+IF(OR($Q75=Parametres!$G$2,$Q75=Parametres!$G$3),K75,E75)</f>
        <v>3</v>
      </c>
      <c r="Q75" s="154" t="str">
        <f t="shared" si="7"/>
        <v>1-Mémo</v>
      </c>
      <c r="R75" s="153" t="str">
        <f t="shared" si="8"/>
        <v>67</v>
      </c>
      <c r="S75" s="154">
        <f t="shared" si="9"/>
        <v>0</v>
      </c>
      <c r="T75" s="156" t="str">
        <f>+VLOOKUP($L75,Data_Validation!$A:$D,1,0)</f>
        <v>677</v>
      </c>
      <c r="U75" s="156">
        <f>+VLOOKUP($L75,Data_Validation!$A:$D,3,0)</f>
        <v>0</v>
      </c>
      <c r="V75" s="156">
        <f>+VLOOKUP($L75,Data_Validation!$A:$D,4,0)</f>
        <v>0</v>
      </c>
      <c r="W75" s="156" t="str">
        <f>+VLOOKUP($L75,Data_Validation!$A:$E,5,0)</f>
        <v>$</v>
      </c>
      <c r="X75" s="156">
        <f>+VLOOKUP($L75,Data_Validation!$A:$F,6,0)</f>
        <v>0</v>
      </c>
    </row>
    <row r="76" spans="1:24" ht="15" hidden="1" customHeight="1">
      <c r="A76" s="1147" t="s">
        <v>2854</v>
      </c>
      <c r="B76" s="1147" t="s">
        <v>2393</v>
      </c>
      <c r="C76" s="1149">
        <v>2754217.34</v>
      </c>
      <c r="D76" s="1149">
        <v>190129.68</v>
      </c>
      <c r="E76" s="1149">
        <v>2944347.02</v>
      </c>
      <c r="F76" s="1147" t="s">
        <v>293</v>
      </c>
      <c r="G76" s="1147" t="s">
        <v>2393</v>
      </c>
      <c r="H76" s="1145"/>
      <c r="I76" s="1145"/>
      <c r="J76" s="1145"/>
      <c r="K76" s="1145"/>
      <c r="L76" s="153" t="str">
        <f t="shared" si="5"/>
        <v>1102</v>
      </c>
      <c r="M76" s="154" t="str">
        <f t="shared" si="6"/>
        <v>BANQUE DE COMMERCE C/C</v>
      </c>
      <c r="N76" s="155">
        <f>+IF(OR($Q76=Parametres!$G$2,$Q76=Parametres!$G$3),I76,C76)</f>
        <v>2754217.34</v>
      </c>
      <c r="O76" s="1122">
        <f>+IF(OR($Q76=Parametres!$G$2,$Q76=Parametres!$G$3),J76,D76)</f>
        <v>190129.68</v>
      </c>
      <c r="P76" s="155">
        <f>+IF(OR($Q76=Parametres!$G$2,$Q76=Parametres!$G$3),K76,E76)</f>
        <v>2944347.02</v>
      </c>
      <c r="Q76" s="154" t="str">
        <f t="shared" si="7"/>
        <v>2-Actifs</v>
      </c>
      <c r="R76" s="153" t="str">
        <f t="shared" si="8"/>
        <v>1102</v>
      </c>
      <c r="S76" s="154">
        <f t="shared" si="9"/>
        <v>0</v>
      </c>
      <c r="T76" s="156" t="str">
        <f>+VLOOKUP($L76,Data_Validation!$A:$D,1,0)</f>
        <v>1102</v>
      </c>
      <c r="U76" s="156" t="str">
        <f>+VLOOKUP($L76,Data_Validation!$A:$D,3,0)</f>
        <v>Bilan</v>
      </c>
      <c r="V76" s="156" t="str">
        <f>+VLOOKUP($L76,Data_Validation!$A:$D,4,0)</f>
        <v>Encaisse</v>
      </c>
      <c r="W76" s="156" t="str">
        <f>+VLOOKUP($L76,Data_Validation!$A:$E,5,0)</f>
        <v>$</v>
      </c>
      <c r="X76" s="156">
        <f>+VLOOKUP($L76,Data_Validation!$A:$F,6,0)</f>
        <v>0</v>
      </c>
    </row>
    <row r="77" spans="1:24" ht="15" hidden="1" customHeight="1">
      <c r="A77" s="1147" t="s">
        <v>2896</v>
      </c>
      <c r="B77" s="1147" t="s">
        <v>2897</v>
      </c>
      <c r="C77" s="1149">
        <v>-109.15</v>
      </c>
      <c r="D77" s="1149">
        <v>109.15</v>
      </c>
      <c r="E77" s="1149">
        <v>0</v>
      </c>
      <c r="F77" s="1147" t="s">
        <v>293</v>
      </c>
      <c r="G77" s="1147" t="s">
        <v>2393</v>
      </c>
      <c r="H77" s="1145"/>
      <c r="I77" s="1145"/>
      <c r="J77" s="1145"/>
      <c r="K77" s="1145"/>
      <c r="L77" s="153" t="str">
        <f t="shared" si="5"/>
        <v>1103</v>
      </c>
      <c r="M77" s="154" t="str">
        <f t="shared" si="6"/>
        <v>VISA</v>
      </c>
      <c r="N77" s="155">
        <f>+IF(OR($Q77=Parametres!$G$2,$Q77=Parametres!$G$3),I77,C77)</f>
        <v>-109.15</v>
      </c>
      <c r="O77" s="1122">
        <f>+IF(OR($Q77=Parametres!$G$2,$Q77=Parametres!$G$3),J77,D77)</f>
        <v>109.15</v>
      </c>
      <c r="P77" s="155">
        <f>+IF(OR($Q77=Parametres!$G$2,$Q77=Parametres!$G$3),K77,E77)</f>
        <v>0</v>
      </c>
      <c r="Q77" s="154" t="str">
        <f t="shared" si="7"/>
        <v>2-Actifs</v>
      </c>
      <c r="R77" s="153" t="str">
        <f t="shared" si="8"/>
        <v>1102</v>
      </c>
      <c r="S77" s="154">
        <f t="shared" si="9"/>
        <v>0</v>
      </c>
      <c r="T77" s="156" t="str">
        <f>+VLOOKUP($L77,Data_Validation!$A:$D,1,0)</f>
        <v>1103</v>
      </c>
      <c r="U77" s="156" t="str">
        <f>+VLOOKUP($L77,Data_Validation!$A:$D,3,0)</f>
        <v>Bilan</v>
      </c>
      <c r="V77" s="156" t="str">
        <f>+VLOOKUP($L77,Data_Validation!$A:$D,4,0)</f>
        <v>Encaisse</v>
      </c>
      <c r="W77" s="156" t="str">
        <f>+VLOOKUP($L77,Data_Validation!$A:$E,5,0)</f>
        <v>$</v>
      </c>
      <c r="X77" s="156">
        <f>+VLOOKUP($L77,Data_Validation!$A:$F,6,0)</f>
        <v>0</v>
      </c>
    </row>
    <row r="78" spans="1:24" ht="15" hidden="1" customHeight="1">
      <c r="A78" s="1147" t="s">
        <v>2391</v>
      </c>
      <c r="B78" s="1147" t="s">
        <v>2392</v>
      </c>
      <c r="C78" s="1149">
        <v>50.2</v>
      </c>
      <c r="D78" s="1149">
        <v>0</v>
      </c>
      <c r="E78" s="1149">
        <v>50.2</v>
      </c>
      <c r="F78" s="1147" t="s">
        <v>293</v>
      </c>
      <c r="G78" s="1147" t="s">
        <v>2393</v>
      </c>
      <c r="H78" s="1145"/>
      <c r="I78" s="1145"/>
      <c r="J78" s="1145"/>
      <c r="K78" s="1145"/>
      <c r="L78" s="153" t="str">
        <f t="shared" si="5"/>
        <v>1182</v>
      </c>
      <c r="M78" s="154" t="str">
        <f t="shared" si="6"/>
        <v>PETITE CAISSE</v>
      </c>
      <c r="N78" s="155">
        <f>+IF(OR($Q78=Parametres!$G$2,$Q78=Parametres!$G$3),I78,C78)</f>
        <v>50.2</v>
      </c>
      <c r="O78" s="1122">
        <f>+IF(OR($Q78=Parametres!$G$2,$Q78=Parametres!$G$3),J78,D78)</f>
        <v>0</v>
      </c>
      <c r="P78" s="155">
        <f>+IF(OR($Q78=Parametres!$G$2,$Q78=Parametres!$G$3),K78,E78)</f>
        <v>50.2</v>
      </c>
      <c r="Q78" s="154" t="str">
        <f t="shared" si="7"/>
        <v>2-Actifs</v>
      </c>
      <c r="R78" s="153" t="str">
        <f t="shared" si="8"/>
        <v>1102</v>
      </c>
      <c r="S78" s="154">
        <f t="shared" si="9"/>
        <v>0</v>
      </c>
      <c r="T78" s="156" t="str">
        <f>+VLOOKUP($L78,Data_Validation!$A:$D,1,0)</f>
        <v>1182</v>
      </c>
      <c r="U78" s="156" t="str">
        <f>+VLOOKUP($L78,Data_Validation!$A:$D,3,0)</f>
        <v>Bilan</v>
      </c>
      <c r="V78" s="156" t="str">
        <f>+VLOOKUP($L78,Data_Validation!$A:$D,4,0)</f>
        <v>Encaisse</v>
      </c>
      <c r="W78" s="156" t="str">
        <f>+VLOOKUP($L78,Data_Validation!$A:$E,5,0)</f>
        <v>$</v>
      </c>
      <c r="X78" s="156">
        <f>+VLOOKUP($L78,Data_Validation!$A:$F,6,0)</f>
        <v>0</v>
      </c>
    </row>
    <row r="79" spans="1:24" ht="15" hidden="1" customHeight="1">
      <c r="A79" s="1147" t="s">
        <v>2183</v>
      </c>
      <c r="B79" s="1147" t="s">
        <v>2184</v>
      </c>
      <c r="C79" s="1149">
        <v>1349366.47</v>
      </c>
      <c r="D79" s="1149">
        <v>316941.09999999998</v>
      </c>
      <c r="E79" s="1149">
        <v>1666307.57</v>
      </c>
      <c r="F79" s="1147" t="s">
        <v>293</v>
      </c>
      <c r="G79" s="1147" t="s">
        <v>2184</v>
      </c>
      <c r="H79" s="1145"/>
      <c r="I79" s="1145"/>
      <c r="J79" s="1145"/>
      <c r="K79" s="1145"/>
      <c r="L79" s="153" t="str">
        <f t="shared" si="5"/>
        <v>1202</v>
      </c>
      <c r="M79" s="154" t="str">
        <f t="shared" si="6"/>
        <v>CONTRATS EN TRANSIT</v>
      </c>
      <c r="N79" s="155">
        <f>+IF(OR($Q79=Parametres!$G$2,$Q79=Parametres!$G$3),I79,C79)</f>
        <v>1349366.47</v>
      </c>
      <c r="O79" s="1122">
        <f>+IF(OR($Q79=Parametres!$G$2,$Q79=Parametres!$G$3),J79,D79)</f>
        <v>316941.09999999998</v>
      </c>
      <c r="P79" s="155">
        <f>+IF(OR($Q79=Parametres!$G$2,$Q79=Parametres!$G$3),K79,E79)</f>
        <v>1666307.57</v>
      </c>
      <c r="Q79" s="154" t="str">
        <f t="shared" si="7"/>
        <v>2-Actifs</v>
      </c>
      <c r="R79" s="153" t="str">
        <f t="shared" si="8"/>
        <v>1202</v>
      </c>
      <c r="S79" s="154">
        <f t="shared" si="9"/>
        <v>0</v>
      </c>
      <c r="T79" s="156" t="str">
        <f>+VLOOKUP($L79,Data_Validation!$A:$D,1,0)</f>
        <v>1202</v>
      </c>
      <c r="U79" s="156" t="str">
        <f>+VLOOKUP($L79,Data_Validation!$A:$D,3,0)</f>
        <v>Bilan</v>
      </c>
      <c r="V79" s="156" t="str">
        <f>+VLOOKUP($L79,Data_Validation!$A:$D,4,0)</f>
        <v>Recevables Contrats en Transit</v>
      </c>
      <c r="W79" s="156" t="str">
        <f>+VLOOKUP($L79,Data_Validation!$A:$E,5,0)</f>
        <v>$</v>
      </c>
      <c r="X79" s="156">
        <f>+VLOOKUP($L79,Data_Validation!$A:$F,6,0)</f>
        <v>0</v>
      </c>
    </row>
    <row r="80" spans="1:24" ht="15.75" hidden="1" customHeight="1">
      <c r="A80" s="1147" t="s">
        <v>2027</v>
      </c>
      <c r="B80" s="1147" t="s">
        <v>2017</v>
      </c>
      <c r="C80" s="1149">
        <v>-68345.03</v>
      </c>
      <c r="D80" s="1149">
        <v>84993.39</v>
      </c>
      <c r="E80" s="1149">
        <v>16648.36</v>
      </c>
      <c r="F80" s="1147" t="s">
        <v>293</v>
      </c>
      <c r="G80" s="1147" t="s">
        <v>2017</v>
      </c>
      <c r="H80" s="1145"/>
      <c r="I80" s="1145"/>
      <c r="J80" s="1145"/>
      <c r="K80" s="1145"/>
      <c r="L80" s="153" t="str">
        <f t="shared" si="5"/>
        <v>1302</v>
      </c>
      <c r="M80" s="154" t="str">
        <f t="shared" si="6"/>
        <v>RECEVABLE-CLIENT-VEHICULE</v>
      </c>
      <c r="N80" s="155">
        <f>+IF(OR($Q80=Parametres!$G$2,$Q80=Parametres!$G$3),I80,C80)</f>
        <v>-68345.03</v>
      </c>
      <c r="O80" s="1122">
        <f>+IF(OR($Q80=Parametres!$G$2,$Q80=Parametres!$G$3),J80,D80)</f>
        <v>84993.39</v>
      </c>
      <c r="P80" s="155">
        <f>+IF(OR($Q80=Parametres!$G$2,$Q80=Parametres!$G$3),K80,E80)</f>
        <v>16648.36</v>
      </c>
      <c r="Q80" s="154" t="str">
        <f t="shared" si="7"/>
        <v>2-Actifs</v>
      </c>
      <c r="R80" s="153" t="str">
        <f t="shared" si="8"/>
        <v>1302</v>
      </c>
      <c r="S80" s="154">
        <f t="shared" si="9"/>
        <v>0</v>
      </c>
      <c r="T80" s="156" t="str">
        <f>+VLOOKUP($L80,Data_Validation!$A:$D,1,0)</f>
        <v>1302</v>
      </c>
      <c r="U80" s="156" t="str">
        <f>+VLOOKUP($L80,Data_Validation!$A:$D,3,0)</f>
        <v>Bilan</v>
      </c>
      <c r="V80" s="156" t="str">
        <f>+VLOOKUP($L80,Data_Validation!$A:$D,4,0)</f>
        <v>Recevables Véhicules</v>
      </c>
      <c r="W80" s="156" t="str">
        <f>+VLOOKUP($L80,Data_Validation!$A:$E,5,0)</f>
        <v>$</v>
      </c>
      <c r="X80" s="156">
        <f>+VLOOKUP($L80,Data_Validation!$A:$F,6,0)</f>
        <v>0</v>
      </c>
    </row>
    <row r="81" spans="1:24" ht="15" hidden="1" customHeight="1">
      <c r="A81" s="1147" t="s">
        <v>2015</v>
      </c>
      <c r="B81" s="1147" t="s">
        <v>2016</v>
      </c>
      <c r="C81" s="1149">
        <v>406694.36</v>
      </c>
      <c r="D81" s="1149">
        <v>123303.13</v>
      </c>
      <c r="E81" s="1149">
        <v>529997.49</v>
      </c>
      <c r="F81" s="1147" t="s">
        <v>293</v>
      </c>
      <c r="G81" s="1147" t="s">
        <v>2017</v>
      </c>
      <c r="H81" s="1145"/>
      <c r="I81" s="1145"/>
      <c r="J81" s="1145"/>
      <c r="K81" s="1145"/>
      <c r="L81" s="153" t="str">
        <f t="shared" si="5"/>
        <v>1303</v>
      </c>
      <c r="M81" s="154" t="str">
        <f t="shared" si="6"/>
        <v>RECEVABLES LPA ET AU GROS</v>
      </c>
      <c r="N81" s="155">
        <f>+IF(OR($Q81=Parametres!$G$2,$Q81=Parametres!$G$3),I81,C81)</f>
        <v>406694.36</v>
      </c>
      <c r="O81" s="1122">
        <f>+IF(OR($Q81=Parametres!$G$2,$Q81=Parametres!$G$3),J81,D81)</f>
        <v>123303.13</v>
      </c>
      <c r="P81" s="155">
        <f>+IF(OR($Q81=Parametres!$G$2,$Q81=Parametres!$G$3),K81,E81)</f>
        <v>529997.49</v>
      </c>
      <c r="Q81" s="154" t="str">
        <f t="shared" si="7"/>
        <v>2-Actifs</v>
      </c>
      <c r="R81" s="153" t="str">
        <f t="shared" si="8"/>
        <v>1302</v>
      </c>
      <c r="S81" s="154">
        <f t="shared" si="9"/>
        <v>0</v>
      </c>
      <c r="T81" s="156" t="str">
        <f>+VLOOKUP($L81,Data_Validation!$A:$D,1,0)</f>
        <v>1303</v>
      </c>
      <c r="U81" s="156" t="str">
        <f>+VLOOKUP($L81,Data_Validation!$A:$D,3,0)</f>
        <v>Bilan</v>
      </c>
      <c r="V81" s="156" t="str">
        <f>+VLOOKUP($L81,Data_Validation!$A:$D,4,0)</f>
        <v>Recevables Véhicules</v>
      </c>
      <c r="W81" s="156" t="str">
        <f>+VLOOKUP($L81,Data_Validation!$A:$E,5,0)</f>
        <v>$</v>
      </c>
      <c r="X81" s="156">
        <f>+VLOOKUP($L81,Data_Validation!$A:$F,6,0)</f>
        <v>0</v>
      </c>
    </row>
    <row r="82" spans="1:24" ht="15" hidden="1" customHeight="1">
      <c r="A82" s="1147" t="s">
        <v>2102</v>
      </c>
      <c r="B82" s="1147" t="s">
        <v>2103</v>
      </c>
      <c r="C82" s="1149">
        <v>65970.350000000006</v>
      </c>
      <c r="D82" s="1149">
        <v>35291.71</v>
      </c>
      <c r="E82" s="1149">
        <v>101262.06</v>
      </c>
      <c r="F82" s="1147" t="s">
        <v>293</v>
      </c>
      <c r="G82" s="1147" t="s">
        <v>2103</v>
      </c>
      <c r="H82" s="1145"/>
      <c r="I82" s="1145"/>
      <c r="J82" s="1145"/>
      <c r="K82" s="1145"/>
      <c r="L82" s="153" t="str">
        <f t="shared" si="5"/>
        <v>1304</v>
      </c>
      <c r="M82" s="154" t="str">
        <f t="shared" si="6"/>
        <v>RECEVABLES PIECES &amp; SERVICE</v>
      </c>
      <c r="N82" s="155">
        <f>+IF(OR($Q82=Parametres!$G$2,$Q82=Parametres!$G$3),I82,C82)</f>
        <v>65970.350000000006</v>
      </c>
      <c r="O82" s="1122">
        <f>+IF(OR($Q82=Parametres!$G$2,$Q82=Parametres!$G$3),J82,D82)</f>
        <v>35291.71</v>
      </c>
      <c r="P82" s="155">
        <f>+IF(OR($Q82=Parametres!$G$2,$Q82=Parametres!$G$3),K82,E82)</f>
        <v>101262.06</v>
      </c>
      <c r="Q82" s="154" t="str">
        <f t="shared" si="7"/>
        <v>2-Actifs</v>
      </c>
      <c r="R82" s="153" t="str">
        <f t="shared" si="8"/>
        <v>1304</v>
      </c>
      <c r="S82" s="154">
        <f t="shared" si="9"/>
        <v>0</v>
      </c>
      <c r="T82" s="156" t="str">
        <f>+VLOOKUP($L82,Data_Validation!$A:$D,1,0)</f>
        <v>1304</v>
      </c>
      <c r="U82" s="156" t="str">
        <f>+VLOOKUP($L82,Data_Validation!$A:$D,3,0)</f>
        <v>Bilan</v>
      </c>
      <c r="V82" s="156" t="str">
        <f>+VLOOKUP($L82,Data_Validation!$A:$D,4,0)</f>
        <v>Recevables Pièces et Service</v>
      </c>
      <c r="W82" s="156" t="str">
        <f>+VLOOKUP($L82,Data_Validation!$A:$E,5,0)</f>
        <v>$</v>
      </c>
      <c r="X82" s="156">
        <f>+VLOOKUP($L82,Data_Validation!$A:$F,6,0)</f>
        <v>0</v>
      </c>
    </row>
    <row r="83" spans="1:24" ht="15" hidden="1" customHeight="1">
      <c r="A83" s="1147" t="s">
        <v>2737</v>
      </c>
      <c r="B83" s="1147" t="s">
        <v>2738</v>
      </c>
      <c r="C83" s="1149">
        <v>53270.51</v>
      </c>
      <c r="D83" s="1149">
        <v>1377.3</v>
      </c>
      <c r="E83" s="1149">
        <v>54647.81</v>
      </c>
      <c r="F83" s="1147" t="s">
        <v>293</v>
      </c>
      <c r="G83" s="1147" t="s">
        <v>2103</v>
      </c>
      <c r="H83" s="1145"/>
      <c r="I83" s="1145"/>
      <c r="J83" s="1145"/>
      <c r="K83" s="1145"/>
      <c r="L83" s="153" t="str">
        <f t="shared" si="5"/>
        <v>1305</v>
      </c>
      <c r="M83" s="154" t="str">
        <f t="shared" si="6"/>
        <v>RECEVABLES CARROSSERIE</v>
      </c>
      <c r="N83" s="155">
        <f>+IF(OR($Q83=Parametres!$G$2,$Q83=Parametres!$G$3),I83,C83)</f>
        <v>53270.51</v>
      </c>
      <c r="O83" s="1122">
        <f>+IF(OR($Q83=Parametres!$G$2,$Q83=Parametres!$G$3),J83,D83)</f>
        <v>1377.3</v>
      </c>
      <c r="P83" s="155">
        <f>+IF(OR($Q83=Parametres!$G$2,$Q83=Parametres!$G$3),K83,E83)</f>
        <v>54647.81</v>
      </c>
      <c r="Q83" s="154" t="str">
        <f t="shared" si="7"/>
        <v>2-Actifs</v>
      </c>
      <c r="R83" s="153" t="str">
        <f t="shared" si="8"/>
        <v>1304</v>
      </c>
      <c r="S83" s="154">
        <f t="shared" si="9"/>
        <v>0</v>
      </c>
      <c r="T83" s="156" t="str">
        <f>+VLOOKUP($L83,Data_Validation!$A:$D,1,0)</f>
        <v>1305</v>
      </c>
      <c r="U83" s="156" t="str">
        <f>+VLOOKUP($L83,Data_Validation!$A:$D,3,0)</f>
        <v>Bilan</v>
      </c>
      <c r="V83" s="156" t="str">
        <f>+VLOOKUP($L83,Data_Validation!$A:$D,4,0)</f>
        <v>Recevables Carrosserie</v>
      </c>
      <c r="W83" s="156" t="str">
        <f>+VLOOKUP($L83,Data_Validation!$A:$E,5,0)</f>
        <v>$</v>
      </c>
      <c r="X83" s="156">
        <f>+VLOOKUP($L83,Data_Validation!$A:$F,6,0)</f>
        <v>0</v>
      </c>
    </row>
    <row r="84" spans="1:24" ht="15.75" hidden="1" customHeight="1">
      <c r="A84" s="1147" t="s">
        <v>2834</v>
      </c>
      <c r="B84" s="1147" t="s">
        <v>2835</v>
      </c>
      <c r="C84" s="1149">
        <v>9213</v>
      </c>
      <c r="D84" s="1149">
        <v>-21175</v>
      </c>
      <c r="E84" s="1149">
        <v>-11962</v>
      </c>
      <c r="F84" s="1147" t="s">
        <v>293</v>
      </c>
      <c r="G84" s="1147" t="s">
        <v>2022</v>
      </c>
      <c r="H84" s="1145"/>
      <c r="I84" s="1145"/>
      <c r="J84" s="1145"/>
      <c r="K84" s="1145"/>
      <c r="L84" s="153" t="str">
        <f t="shared" si="5"/>
        <v>1312</v>
      </c>
      <c r="M84" s="154" t="str">
        <f t="shared" si="6"/>
        <v>RESEVE VOLKS</v>
      </c>
      <c r="N84" s="155">
        <f>+IF(OR($Q84=Parametres!$G$2,$Q84=Parametres!$G$3),I84,C84)</f>
        <v>9213</v>
      </c>
      <c r="O84" s="1122">
        <f>+IF(OR($Q84=Parametres!$G$2,$Q84=Parametres!$G$3),J84,D84)</f>
        <v>-21175</v>
      </c>
      <c r="P84" s="155">
        <f>+IF(OR($Q84=Parametres!$G$2,$Q84=Parametres!$G$3),K84,E84)</f>
        <v>-11962</v>
      </c>
      <c r="Q84" s="154" t="str">
        <f t="shared" si="7"/>
        <v>2-Actifs</v>
      </c>
      <c r="R84" s="153" t="str">
        <f t="shared" si="8"/>
        <v>1314</v>
      </c>
      <c r="S84" s="154">
        <f t="shared" si="9"/>
        <v>0</v>
      </c>
      <c r="T84" s="156" t="str">
        <f>+VLOOKUP($L84,Data_Validation!$A:$D,1,0)</f>
        <v>1312</v>
      </c>
      <c r="U84" s="156" t="str">
        <f>+VLOOKUP($L84,Data_Validation!$A:$D,3,0)</f>
        <v>Bilan</v>
      </c>
      <c r="V84" s="156" t="str">
        <f>+VLOOKUP($L84,Data_Validation!$A:$D,4,0)</f>
        <v>Recevables Manufacturier</v>
      </c>
      <c r="W84" s="156" t="str">
        <f>+VLOOKUP($L84,Data_Validation!$A:$E,5,0)</f>
        <v>$</v>
      </c>
      <c r="X84" s="156">
        <f>+VLOOKUP($L84,Data_Validation!$A:$F,6,0)</f>
        <v>0</v>
      </c>
    </row>
    <row r="85" spans="1:24" ht="15" hidden="1" customHeight="1">
      <c r="A85" s="1147" t="s">
        <v>2060</v>
      </c>
      <c r="B85" s="1147" t="s">
        <v>2061</v>
      </c>
      <c r="C85" s="1149">
        <v>139040.99</v>
      </c>
      <c r="D85" s="1149">
        <v>-100668.46</v>
      </c>
      <c r="E85" s="1149">
        <v>38372.53</v>
      </c>
      <c r="F85" s="1147" t="s">
        <v>293</v>
      </c>
      <c r="G85" s="1147" t="s">
        <v>2061</v>
      </c>
      <c r="H85" s="1145"/>
      <c r="I85" s="1145"/>
      <c r="J85" s="1145"/>
      <c r="K85" s="1145"/>
      <c r="L85" s="153" t="str">
        <f t="shared" si="5"/>
        <v>1332</v>
      </c>
      <c r="M85" s="154" t="str">
        <f t="shared" si="6"/>
        <v>RECLAM. RECEVABLE-GARANTIE</v>
      </c>
      <c r="N85" s="155">
        <f>+IF(OR($Q85=Parametres!$G$2,$Q85=Parametres!$G$3),I85,C85)</f>
        <v>139040.99</v>
      </c>
      <c r="O85" s="1122">
        <f>+IF(OR($Q85=Parametres!$G$2,$Q85=Parametres!$G$3),J85,D85)</f>
        <v>-100668.46</v>
      </c>
      <c r="P85" s="155">
        <f>+IF(OR($Q85=Parametres!$G$2,$Q85=Parametres!$G$3),K85,E85)</f>
        <v>38372.53</v>
      </c>
      <c r="Q85" s="154" t="str">
        <f t="shared" si="7"/>
        <v>2-Actifs</v>
      </c>
      <c r="R85" s="153" t="str">
        <f t="shared" si="8"/>
        <v>1332</v>
      </c>
      <c r="S85" s="154">
        <f t="shared" si="9"/>
        <v>0</v>
      </c>
      <c r="T85" s="156" t="str">
        <f>+VLOOKUP($L85,Data_Validation!$A:$D,1,0)</f>
        <v>1332</v>
      </c>
      <c r="U85" s="156" t="str">
        <f>+VLOOKUP($L85,Data_Validation!$A:$D,3,0)</f>
        <v>Bilan</v>
      </c>
      <c r="V85" s="156" t="str">
        <f>+VLOOKUP($L85,Data_Validation!$A:$D,4,0)</f>
        <v>Recevables Garantie Manufacturier</v>
      </c>
      <c r="W85" s="156" t="str">
        <f>+VLOOKUP($L85,Data_Validation!$A:$E,5,0)</f>
        <v>$</v>
      </c>
      <c r="X85" s="156">
        <f>+VLOOKUP($L85,Data_Validation!$A:$F,6,0)</f>
        <v>0</v>
      </c>
    </row>
    <row r="86" spans="1:24" ht="15" hidden="1" customHeight="1">
      <c r="A86" s="1147" t="s">
        <v>2783</v>
      </c>
      <c r="B86" s="1147" t="s">
        <v>2784</v>
      </c>
      <c r="C86" s="1149">
        <v>1976.7</v>
      </c>
      <c r="D86" s="1149">
        <v>16699.5</v>
      </c>
      <c r="E86" s="1149">
        <v>18676.2</v>
      </c>
      <c r="F86" s="1147" t="s">
        <v>293</v>
      </c>
      <c r="G86" s="1147" t="s">
        <v>2623</v>
      </c>
      <c r="H86" s="1145"/>
      <c r="I86" s="1145"/>
      <c r="J86" s="1145"/>
      <c r="K86" s="1145"/>
      <c r="L86" s="153" t="str">
        <f t="shared" si="5"/>
        <v>1340</v>
      </c>
      <c r="M86" s="154" t="str">
        <f t="shared" si="6"/>
        <v>GARANTIE PPM</v>
      </c>
      <c r="N86" s="155">
        <f>+IF(OR($Q86=Parametres!$G$2,$Q86=Parametres!$G$3),I86,C86)</f>
        <v>1976.7</v>
      </c>
      <c r="O86" s="1122">
        <f>+IF(OR($Q86=Parametres!$G$2,$Q86=Parametres!$G$3),J86,D86)</f>
        <v>16699.5</v>
      </c>
      <c r="P86" s="155">
        <f>+IF(OR($Q86=Parametres!$G$2,$Q86=Parametres!$G$3),K86,E86)</f>
        <v>18676.2</v>
      </c>
      <c r="Q86" s="154" t="str">
        <f t="shared" si="7"/>
        <v>2-Actifs</v>
      </c>
      <c r="R86" s="153" t="str">
        <f t="shared" si="8"/>
        <v>1382</v>
      </c>
      <c r="S86" s="154">
        <f t="shared" si="9"/>
        <v>0</v>
      </c>
      <c r="T86" s="156" t="str">
        <f>+VLOOKUP($L86,Data_Validation!$A:$D,1,0)</f>
        <v>1340</v>
      </c>
      <c r="U86" s="156" t="str">
        <f>+VLOOKUP($L86,Data_Validation!$A:$D,3,0)</f>
        <v>Bilan</v>
      </c>
      <c r="V86" s="156" t="str">
        <f>+VLOOKUP($L86,Data_Validation!$A:$D,4,0)</f>
        <v>recevables Autres</v>
      </c>
      <c r="W86" s="156" t="str">
        <f>+VLOOKUP($L86,Data_Validation!$A:$E,5,0)</f>
        <v>$</v>
      </c>
      <c r="X86" s="156">
        <f>+VLOOKUP($L86,Data_Validation!$A:$F,6,0)</f>
        <v>0</v>
      </c>
    </row>
    <row r="87" spans="1:24" ht="15" hidden="1" customHeight="1">
      <c r="A87" s="1147" t="s">
        <v>2020</v>
      </c>
      <c r="B87" s="1147" t="s">
        <v>2021</v>
      </c>
      <c r="C87" s="1149">
        <v>81612.2</v>
      </c>
      <c r="D87" s="1149">
        <v>2025</v>
      </c>
      <c r="E87" s="1149">
        <v>83637.2</v>
      </c>
      <c r="F87" s="1147" t="s">
        <v>293</v>
      </c>
      <c r="G87" s="1147" t="s">
        <v>2022</v>
      </c>
      <c r="H87" s="1145"/>
      <c r="I87" s="1145"/>
      <c r="J87" s="1145"/>
      <c r="K87" s="1145"/>
      <c r="L87" s="153" t="str">
        <f t="shared" si="5"/>
        <v>1352</v>
      </c>
      <c r="M87" s="154" t="str">
        <f t="shared" si="6"/>
        <v>RECEV. MANUFACTURIER VOLKS</v>
      </c>
      <c r="N87" s="155">
        <f>+IF(OR($Q87=Parametres!$G$2,$Q87=Parametres!$G$3),I87,C87)</f>
        <v>81612.2</v>
      </c>
      <c r="O87" s="1122">
        <f>+IF(OR($Q87=Parametres!$G$2,$Q87=Parametres!$G$3),J87,D87)</f>
        <v>2025</v>
      </c>
      <c r="P87" s="155">
        <f>+IF(OR($Q87=Parametres!$G$2,$Q87=Parametres!$G$3),K87,E87)</f>
        <v>83637.2</v>
      </c>
      <c r="Q87" s="154" t="str">
        <f t="shared" si="7"/>
        <v>2-Actifs</v>
      </c>
      <c r="R87" s="153" t="str">
        <f t="shared" si="8"/>
        <v>1314</v>
      </c>
      <c r="S87" s="154">
        <f t="shared" si="9"/>
        <v>0</v>
      </c>
      <c r="T87" s="156" t="str">
        <f>+VLOOKUP($L87,Data_Validation!$A:$D,1,0)</f>
        <v>1352</v>
      </c>
      <c r="U87" s="156" t="str">
        <f>+VLOOKUP($L87,Data_Validation!$A:$D,3,0)</f>
        <v>Bilan</v>
      </c>
      <c r="V87" s="156" t="str">
        <f>+VLOOKUP($L87,Data_Validation!$A:$D,4,0)</f>
        <v>Recevables Manufacturier</v>
      </c>
      <c r="W87" s="156" t="str">
        <f>+VLOOKUP($L87,Data_Validation!$A:$E,5,0)</f>
        <v>$</v>
      </c>
      <c r="X87" s="156">
        <f>+VLOOKUP($L87,Data_Validation!$A:$F,6,0)</f>
        <v>0</v>
      </c>
    </row>
    <row r="88" spans="1:24" ht="15" hidden="1" customHeight="1">
      <c r="A88" s="1147" t="s">
        <v>2822</v>
      </c>
      <c r="B88" s="1147" t="s">
        <v>2823</v>
      </c>
      <c r="C88" s="1149">
        <v>15886.84</v>
      </c>
      <c r="D88" s="1149">
        <v>0</v>
      </c>
      <c r="E88" s="1149">
        <v>15886.84</v>
      </c>
      <c r="F88" s="1147" t="s">
        <v>293</v>
      </c>
      <c r="G88" s="1147" t="s">
        <v>2823</v>
      </c>
      <c r="H88" s="1145"/>
      <c r="I88" s="1145"/>
      <c r="J88" s="1145"/>
      <c r="K88" s="1145"/>
      <c r="L88" s="153" t="str">
        <f t="shared" si="5"/>
        <v>1372</v>
      </c>
      <c r="M88" s="154" t="str">
        <f t="shared" si="6"/>
        <v>TAXES DE VENTES A RECEVOIR</v>
      </c>
      <c r="N88" s="155">
        <f>+IF(OR($Q88=Parametres!$G$2,$Q88=Parametres!$G$3),I88,C88)</f>
        <v>15886.84</v>
      </c>
      <c r="O88" s="1122">
        <f>+IF(OR($Q88=Parametres!$G$2,$Q88=Parametres!$G$3),J88,D88)</f>
        <v>0</v>
      </c>
      <c r="P88" s="155">
        <f>+IF(OR($Q88=Parametres!$G$2,$Q88=Parametres!$G$3),K88,E88)</f>
        <v>15886.84</v>
      </c>
      <c r="Q88" s="154" t="str">
        <f t="shared" si="7"/>
        <v>2-Actifs</v>
      </c>
      <c r="R88" s="153" t="str">
        <f t="shared" si="8"/>
        <v>1372</v>
      </c>
      <c r="S88" s="154">
        <f t="shared" si="9"/>
        <v>0</v>
      </c>
      <c r="T88" s="156" t="str">
        <f>+VLOOKUP($L88,Data_Validation!$A:$D,1,0)</f>
        <v>1372</v>
      </c>
      <c r="U88" s="156" t="str">
        <f>+VLOOKUP($L88,Data_Validation!$A:$D,3,0)</f>
        <v>Bilan</v>
      </c>
      <c r="V88" s="156" t="str">
        <f>+VLOOKUP($L88,Data_Validation!$A:$D,4,0)</f>
        <v>Taxes de Vente à Payer</v>
      </c>
      <c r="W88" s="156" t="str">
        <f>+VLOOKUP($L88,Data_Validation!$A:$E,5,0)</f>
        <v>$</v>
      </c>
      <c r="X88" s="156">
        <f>+VLOOKUP($L88,Data_Validation!$A:$F,6,0)</f>
        <v>0</v>
      </c>
    </row>
    <row r="89" spans="1:24" ht="15" hidden="1" customHeight="1">
      <c r="A89" s="1147" t="s">
        <v>2866</v>
      </c>
      <c r="B89" s="1147" t="s">
        <v>2867</v>
      </c>
      <c r="C89" s="1149">
        <v>-44850.53</v>
      </c>
      <c r="D89" s="1149">
        <v>10000</v>
      </c>
      <c r="E89" s="1149">
        <v>-34850.53</v>
      </c>
      <c r="F89" s="1147" t="s">
        <v>293</v>
      </c>
      <c r="G89" s="1147" t="s">
        <v>2867</v>
      </c>
      <c r="H89" s="1145"/>
      <c r="I89" s="1145"/>
      <c r="J89" s="1145"/>
      <c r="K89" s="1145"/>
      <c r="L89" s="153" t="str">
        <f t="shared" si="5"/>
        <v>1399</v>
      </c>
      <c r="M89" s="154" t="str">
        <f t="shared" si="6"/>
        <v>RESERVE CREANCE DOUTEUSES</v>
      </c>
      <c r="N89" s="155">
        <f>+IF(OR($Q89=Parametres!$G$2,$Q89=Parametres!$G$3),I89,C89)</f>
        <v>-44850.53</v>
      </c>
      <c r="O89" s="1120">
        <f>+IF(OR($Q89=Parametres!$G$2,$Q89=Parametres!$G$3),J89,D89)</f>
        <v>10000</v>
      </c>
      <c r="P89" s="155">
        <f>+IF(OR($Q89=Parametres!$G$2,$Q89=Parametres!$G$3),K89,E89)</f>
        <v>-34850.53</v>
      </c>
      <c r="Q89" s="154" t="str">
        <f t="shared" si="7"/>
        <v>2-Actifs</v>
      </c>
      <c r="R89" s="153" t="str">
        <f t="shared" si="8"/>
        <v>1399</v>
      </c>
      <c r="S89" s="154">
        <f t="shared" si="9"/>
        <v>0</v>
      </c>
      <c r="T89" s="156" t="str">
        <f>+VLOOKUP($L89,Data_Validation!$A:$D,1,0)</f>
        <v>1399</v>
      </c>
      <c r="U89" s="156" t="str">
        <f>+VLOOKUP($L89,Data_Validation!$A:$D,3,0)</f>
        <v>Bilan</v>
      </c>
      <c r="V89" s="156" t="str">
        <f>+VLOOKUP($L89,Data_Validation!$A:$D,4,0)</f>
        <v>Recevables Pièces et Service</v>
      </c>
      <c r="W89" s="156" t="str">
        <f>+VLOOKUP($L89,Data_Validation!$A:$E,5,0)</f>
        <v>$</v>
      </c>
      <c r="X89" s="156">
        <f>+VLOOKUP($L89,Data_Validation!$A:$F,6,0)</f>
        <v>0</v>
      </c>
    </row>
    <row r="90" spans="1:24" ht="15" hidden="1" customHeight="1">
      <c r="A90" s="1147" t="s">
        <v>2109</v>
      </c>
      <c r="B90" s="1147" t="s">
        <v>2110</v>
      </c>
      <c r="C90" s="1149">
        <v>4658116.76</v>
      </c>
      <c r="D90" s="1149">
        <v>-909658.53</v>
      </c>
      <c r="E90" s="1149">
        <v>3748458.23</v>
      </c>
      <c r="F90" s="1147" t="s">
        <v>293</v>
      </c>
      <c r="G90" s="1147" t="s">
        <v>2110</v>
      </c>
      <c r="H90" s="1145"/>
      <c r="I90" s="1145"/>
      <c r="J90" s="1145"/>
      <c r="K90" s="1145"/>
      <c r="L90" s="153" t="str">
        <f t="shared" si="5"/>
        <v>1402</v>
      </c>
      <c r="M90" s="154" t="str">
        <f t="shared" si="6"/>
        <v>VEHIC. NEUFS VOLKS</v>
      </c>
      <c r="N90" s="155">
        <f>+IF(OR($Q90=Parametres!$G$2,$Q90=Parametres!$G$3),I90,C90)</f>
        <v>4658116.76</v>
      </c>
      <c r="O90" s="1122">
        <f>+IF(OR($Q90=Parametres!$G$2,$Q90=Parametres!$G$3),J90,D90)</f>
        <v>-909658.53</v>
      </c>
      <c r="P90" s="155">
        <f>+IF(OR($Q90=Parametres!$G$2,$Q90=Parametres!$G$3),K90,E90)</f>
        <v>3748458.23</v>
      </c>
      <c r="Q90" s="154" t="str">
        <f t="shared" si="7"/>
        <v>2-Actifs</v>
      </c>
      <c r="R90" s="153" t="str">
        <f t="shared" si="8"/>
        <v>1402</v>
      </c>
      <c r="S90" s="154">
        <f t="shared" si="9"/>
        <v>0</v>
      </c>
      <c r="T90" s="156" t="str">
        <f>+VLOOKUP($L90,Data_Validation!$A:$D,1,0)</f>
        <v>1402</v>
      </c>
      <c r="U90" s="156" t="str">
        <f>+VLOOKUP($L90,Data_Validation!$A:$D,3,0)</f>
        <v>Bilan</v>
      </c>
      <c r="V90" s="156" t="str">
        <f>+VLOOKUP($L90,Data_Validation!$A:$D,4,0)</f>
        <v>Inventaire Véhicules Neufs</v>
      </c>
      <c r="W90" s="156" t="str">
        <f>+VLOOKUP($L90,Data_Validation!$A:$E,5,0)</f>
        <v>$</v>
      </c>
      <c r="X90" s="156">
        <f>+VLOOKUP($L90,Data_Validation!$A:$F,6,0)</f>
        <v>0</v>
      </c>
    </row>
    <row r="91" spans="1:24" ht="15" hidden="1" customHeight="1">
      <c r="A91" s="1147" t="s">
        <v>2477</v>
      </c>
      <c r="B91" s="1147" t="s">
        <v>2478</v>
      </c>
      <c r="C91" s="1149"/>
      <c r="D91" s="1149"/>
      <c r="E91" s="1149"/>
      <c r="F91" s="1147" t="s">
        <v>4</v>
      </c>
      <c r="G91" s="1147" t="s">
        <v>2110</v>
      </c>
      <c r="H91" s="1145"/>
      <c r="I91" s="1145">
        <v>150</v>
      </c>
      <c r="J91" s="1145">
        <v>-26</v>
      </c>
      <c r="K91" s="1145">
        <v>124</v>
      </c>
      <c r="L91" s="153" t="str">
        <f t="shared" si="5"/>
        <v>1402@</v>
      </c>
      <c r="M91" s="154" t="str">
        <f t="shared" si="6"/>
        <v># DE INVENTAIRE VEH.NEUFS VW</v>
      </c>
      <c r="N91" s="155">
        <f>+IF(OR($Q91=Parametres!$G$2,$Q91=Parametres!$G$3),I91,C91)</f>
        <v>150</v>
      </c>
      <c r="O91" s="1122">
        <f>+IF(OR($Q91=Parametres!$G$2,$Q91=Parametres!$G$3),J91,D91)</f>
        <v>-26</v>
      </c>
      <c r="P91" s="155">
        <f>+IF(OR($Q91=Parametres!$G$2,$Q91=Parametres!$G$3),K91,E91)</f>
        <v>124</v>
      </c>
      <c r="Q91" s="154" t="str">
        <f t="shared" si="7"/>
        <v>10-Compte compteur</v>
      </c>
      <c r="R91" s="153" t="str">
        <f t="shared" si="8"/>
        <v>1402</v>
      </c>
      <c r="S91" s="154">
        <f t="shared" si="9"/>
        <v>0</v>
      </c>
      <c r="T91" s="156" t="str">
        <f>+VLOOKUP($L91,Data_Validation!$A:$D,1,0)</f>
        <v>1402@</v>
      </c>
      <c r="U91" s="156" t="str">
        <f>+VLOOKUP($L91,Data_Validation!$A:$D,3,0)</f>
        <v>Bilan</v>
      </c>
      <c r="V91" s="156">
        <f>+VLOOKUP($L91,Data_Validation!$A:$D,4,0)</f>
        <v>0</v>
      </c>
      <c r="W91" s="156" t="str">
        <f>+VLOOKUP($L91,Data_Validation!$A:$E,5,0)</f>
        <v>NB</v>
      </c>
      <c r="X91" s="156">
        <f>+VLOOKUP($L91,Data_Validation!$A:$F,6,0)</f>
        <v>0</v>
      </c>
    </row>
    <row r="92" spans="1:24" ht="15" hidden="1" customHeight="1">
      <c r="A92" s="1147" t="s">
        <v>2118</v>
      </c>
      <c r="B92" s="1147" t="s">
        <v>2119</v>
      </c>
      <c r="C92" s="1149">
        <v>-135854.93</v>
      </c>
      <c r="D92" s="1149">
        <v>-8003.57</v>
      </c>
      <c r="E92" s="1149">
        <v>-143858.5</v>
      </c>
      <c r="F92" s="1147" t="s">
        <v>293</v>
      </c>
      <c r="G92" s="1147" t="s">
        <v>2110</v>
      </c>
      <c r="H92" s="1145"/>
      <c r="I92" s="1145"/>
      <c r="J92" s="1145"/>
      <c r="K92" s="1145"/>
      <c r="L92" s="153" t="str">
        <f t="shared" si="5"/>
        <v>1403</v>
      </c>
      <c r="M92" s="154" t="str">
        <f t="shared" si="6"/>
        <v>BRUISING VOLKS VEH. NEUFS</v>
      </c>
      <c r="N92" s="155">
        <f>+IF(OR($Q92=Parametres!$G$2,$Q92=Parametres!$G$3),I92,C92)</f>
        <v>-135854.93</v>
      </c>
      <c r="O92" s="1122">
        <f>+IF(OR($Q92=Parametres!$G$2,$Q92=Parametres!$G$3),J92,D92)</f>
        <v>-8003.57</v>
      </c>
      <c r="P92" s="155">
        <f>+IF(OR($Q92=Parametres!$G$2,$Q92=Parametres!$G$3),K92,E92)</f>
        <v>-143858.5</v>
      </c>
      <c r="Q92" s="154" t="str">
        <f t="shared" si="7"/>
        <v>2-Actifs</v>
      </c>
      <c r="R92" s="153" t="str">
        <f t="shared" si="8"/>
        <v>1402</v>
      </c>
      <c r="S92" s="154">
        <f t="shared" si="9"/>
        <v>0</v>
      </c>
      <c r="T92" s="156" t="str">
        <f>+VLOOKUP($L92,Data_Validation!$A:$D,1,0)</f>
        <v>1403</v>
      </c>
      <c r="U92" s="156" t="str">
        <f>+VLOOKUP($L92,Data_Validation!$A:$D,3,0)</f>
        <v>Bilan</v>
      </c>
      <c r="V92" s="156" t="str">
        <f>+VLOOKUP($L92,Data_Validation!$A:$D,4,0)</f>
        <v>Inventaire Véhicules Neufs</v>
      </c>
      <c r="W92" s="156" t="str">
        <f>+VLOOKUP($L92,Data_Validation!$A:$E,5,0)</f>
        <v>$</v>
      </c>
      <c r="X92" s="156">
        <f>+VLOOKUP($L92,Data_Validation!$A:$F,6,0)</f>
        <v>0</v>
      </c>
    </row>
    <row r="93" spans="1:24" ht="15" hidden="1" customHeight="1">
      <c r="A93" s="1147" t="s">
        <v>2761</v>
      </c>
      <c r="B93" s="1147" t="s">
        <v>2762</v>
      </c>
      <c r="C93" s="1149">
        <v>-54036.18</v>
      </c>
      <c r="D93" s="1149">
        <v>-4800</v>
      </c>
      <c r="E93" s="1149">
        <v>-58836.18</v>
      </c>
      <c r="F93" s="1147" t="s">
        <v>293</v>
      </c>
      <c r="G93" s="1147" t="s">
        <v>2762</v>
      </c>
      <c r="H93" s="1145"/>
      <c r="I93" s="1145"/>
      <c r="J93" s="1145"/>
      <c r="K93" s="1145"/>
      <c r="L93" s="153" t="str">
        <f t="shared" si="5"/>
        <v>1413</v>
      </c>
      <c r="M93" s="154" t="str">
        <f t="shared" si="6"/>
        <v>BRUISING USED CAR</v>
      </c>
      <c r="N93" s="155">
        <f>+IF(OR($Q93=Parametres!$G$2,$Q93=Parametres!$G$3),I93,C93)</f>
        <v>-54036.18</v>
      </c>
      <c r="O93" s="1122">
        <f>+IF(OR($Q93=Parametres!$G$2,$Q93=Parametres!$G$3),J93,D93)</f>
        <v>-4800</v>
      </c>
      <c r="P93" s="155">
        <f>+IF(OR($Q93=Parametres!$G$2,$Q93=Parametres!$G$3),K93,E93)</f>
        <v>-58836.18</v>
      </c>
      <c r="Q93" s="154" t="str">
        <f t="shared" si="7"/>
        <v>2-Actifs</v>
      </c>
      <c r="R93" s="153" t="str">
        <f t="shared" si="8"/>
        <v>1413</v>
      </c>
      <c r="S93" s="154">
        <f t="shared" si="9"/>
        <v>0</v>
      </c>
      <c r="T93" s="156" t="str">
        <f>+VLOOKUP($L93,Data_Validation!$A:$D,1,0)</f>
        <v>1413</v>
      </c>
      <c r="U93" s="156" t="str">
        <f>+VLOOKUP($L93,Data_Validation!$A:$D,3,0)</f>
        <v>Bilan</v>
      </c>
      <c r="V93" s="156" t="str">
        <f>+VLOOKUP($L93,Data_Validation!$A:$D,4,0)</f>
        <v>Inventaire Véhicules Usagés</v>
      </c>
      <c r="W93" s="156" t="str">
        <f>+VLOOKUP($L93,Data_Validation!$A:$E,5,0)</f>
        <v>$</v>
      </c>
      <c r="X93" s="156">
        <f>+VLOOKUP($L93,Data_Validation!$A:$F,6,0)</f>
        <v>0</v>
      </c>
    </row>
    <row r="94" spans="1:24" ht="15.75" hidden="1" customHeight="1">
      <c r="A94" s="1147" t="s">
        <v>2826</v>
      </c>
      <c r="B94" s="1147" t="s">
        <v>2481</v>
      </c>
      <c r="C94" s="1149">
        <v>1975985.03</v>
      </c>
      <c r="D94" s="1149">
        <v>-354968.41</v>
      </c>
      <c r="E94" s="1149">
        <v>1621016.62</v>
      </c>
      <c r="F94" s="1147" t="s">
        <v>293</v>
      </c>
      <c r="G94" s="1147" t="s">
        <v>2481</v>
      </c>
      <c r="H94" s="1145"/>
      <c r="I94" s="1145"/>
      <c r="J94" s="1145"/>
      <c r="K94" s="1145"/>
      <c r="L94" s="153" t="str">
        <f t="shared" si="5"/>
        <v>1416</v>
      </c>
      <c r="M94" s="154" t="str">
        <f t="shared" si="6"/>
        <v>INV. VEH. USAGE VW</v>
      </c>
      <c r="N94" s="155">
        <f>+IF(OR($Q94=Parametres!$G$2,$Q94=Parametres!$G$3),I94,C94)</f>
        <v>1975985.03</v>
      </c>
      <c r="O94" s="1122">
        <f>+IF(OR($Q94=Parametres!$G$2,$Q94=Parametres!$G$3),J94,D94)</f>
        <v>-354968.41</v>
      </c>
      <c r="P94" s="155">
        <f>+IF(OR($Q94=Parametres!$G$2,$Q94=Parametres!$G$3),K94,E94)</f>
        <v>1621016.62</v>
      </c>
      <c r="Q94" s="154" t="str">
        <f t="shared" si="7"/>
        <v>2-Actifs</v>
      </c>
      <c r="R94" s="153" t="str">
        <f t="shared" si="8"/>
        <v>1416</v>
      </c>
      <c r="S94" s="154">
        <f t="shared" si="9"/>
        <v>0</v>
      </c>
      <c r="T94" s="156" t="str">
        <f>+VLOOKUP($L94,Data_Validation!$A:$D,1,0)</f>
        <v>1416</v>
      </c>
      <c r="U94" s="156" t="str">
        <f>+VLOOKUP($L94,Data_Validation!$A:$D,3,0)</f>
        <v>Bilan</v>
      </c>
      <c r="V94" s="156" t="str">
        <f>+VLOOKUP($L94,Data_Validation!$A:$D,4,0)</f>
        <v>Inventaire Véhicules Usagés</v>
      </c>
      <c r="W94" s="156" t="str">
        <f>+VLOOKUP($L94,Data_Validation!$A:$E,5,0)</f>
        <v>$</v>
      </c>
      <c r="X94" s="156">
        <f>+VLOOKUP($L94,Data_Validation!$A:$F,6,0)</f>
        <v>0</v>
      </c>
    </row>
    <row r="95" spans="1:24" ht="15" hidden="1" customHeight="1">
      <c r="A95" s="1147" t="s">
        <v>2479</v>
      </c>
      <c r="B95" s="1147" t="s">
        <v>2480</v>
      </c>
      <c r="C95" s="1149"/>
      <c r="D95" s="1149"/>
      <c r="E95" s="1149"/>
      <c r="F95" s="1147" t="s">
        <v>4</v>
      </c>
      <c r="G95" s="1147" t="s">
        <v>2481</v>
      </c>
      <c r="H95" s="1145"/>
      <c r="I95" s="1145">
        <v>112</v>
      </c>
      <c r="J95" s="1145">
        <v>-26</v>
      </c>
      <c r="K95" s="1145">
        <v>86</v>
      </c>
      <c r="L95" s="153" t="str">
        <f t="shared" si="5"/>
        <v>1416@</v>
      </c>
      <c r="M95" s="154" t="str">
        <f t="shared" si="6"/>
        <v># DE INV. VEH. USAGE VW</v>
      </c>
      <c r="N95" s="155">
        <f>+IF(OR($Q95=Parametres!$G$2,$Q95=Parametres!$G$3),I95,C95)</f>
        <v>112</v>
      </c>
      <c r="O95" s="1122">
        <f>+IF(OR($Q95=Parametres!$G$2,$Q95=Parametres!$G$3),J95,D95)</f>
        <v>-26</v>
      </c>
      <c r="P95" s="155">
        <f>+IF(OR($Q95=Parametres!$G$2,$Q95=Parametres!$G$3),K95,E95)</f>
        <v>86</v>
      </c>
      <c r="Q95" s="154" t="str">
        <f t="shared" si="7"/>
        <v>10-Compte compteur</v>
      </c>
      <c r="R95" s="153" t="str">
        <f t="shared" si="8"/>
        <v>1416</v>
      </c>
      <c r="S95" s="154">
        <f t="shared" si="9"/>
        <v>0</v>
      </c>
      <c r="T95" s="156" t="str">
        <f>+VLOOKUP($L95,Data_Validation!$A:$D,1,0)</f>
        <v>1416@</v>
      </c>
      <c r="U95" s="156" t="str">
        <f>+VLOOKUP($L95,Data_Validation!$A:$D,3,0)</f>
        <v>Bilan</v>
      </c>
      <c r="V95" s="156">
        <f>+VLOOKUP($L95,Data_Validation!$A:$D,4,0)</f>
        <v>0</v>
      </c>
      <c r="W95" s="156" t="str">
        <f>+VLOOKUP($L95,Data_Validation!$A:$E,5,0)</f>
        <v>NB</v>
      </c>
      <c r="X95" s="156">
        <f>+VLOOKUP($L95,Data_Validation!$A:$F,6,0)</f>
        <v>0</v>
      </c>
    </row>
    <row r="96" spans="1:24" ht="15" hidden="1" customHeight="1">
      <c r="A96" s="1147" t="s">
        <v>2911</v>
      </c>
      <c r="B96" s="1147" t="s">
        <v>2912</v>
      </c>
      <c r="C96" s="1145"/>
      <c r="D96" s="1145"/>
      <c r="E96" s="1145"/>
      <c r="F96" s="1147" t="s">
        <v>4</v>
      </c>
      <c r="G96" s="1147" t="s">
        <v>2913</v>
      </c>
      <c r="H96" s="1145"/>
      <c r="I96" s="1149">
        <v>1</v>
      </c>
      <c r="J96" s="1149">
        <v>0</v>
      </c>
      <c r="K96" s="1149">
        <v>1</v>
      </c>
      <c r="L96" s="153" t="str">
        <f t="shared" si="5"/>
        <v>1418@</v>
      </c>
      <c r="M96" s="154" t="str">
        <f t="shared" si="6"/>
        <v># DE INV.VEH.USAGE AUDI</v>
      </c>
      <c r="N96" s="155">
        <f>+IF(OR($Q96=Parametres!$G$2,$Q96=Parametres!$G$3),I96,C96)</f>
        <v>1</v>
      </c>
      <c r="O96" s="1122">
        <f>+IF(OR($Q96=Parametres!$G$2,$Q96=Parametres!$G$3),J96,D96)</f>
        <v>0</v>
      </c>
      <c r="P96" s="155">
        <f>+IF(OR($Q96=Parametres!$G$2,$Q96=Parametres!$G$3),K96,E96)</f>
        <v>1</v>
      </c>
      <c r="Q96" s="154" t="str">
        <f t="shared" si="7"/>
        <v>10-Compte compteur</v>
      </c>
      <c r="R96" s="153" t="str">
        <f t="shared" si="8"/>
        <v>1418</v>
      </c>
      <c r="S96" s="154">
        <f t="shared" si="9"/>
        <v>0</v>
      </c>
      <c r="T96" s="156" t="str">
        <f>+VLOOKUP($L96,Data_Validation!$A:$D,1,0)</f>
        <v>1418@</v>
      </c>
      <c r="U96" s="156">
        <f>+VLOOKUP($L96,Data_Validation!$A:$D,3,0)</f>
        <v>0</v>
      </c>
      <c r="V96" s="156">
        <f>+VLOOKUP($L96,Data_Validation!$A:$D,4,0)</f>
        <v>0</v>
      </c>
      <c r="W96" s="156">
        <f>+VLOOKUP($L96,Data_Validation!$A:$E,5,0)</f>
        <v>0</v>
      </c>
      <c r="X96" s="156">
        <f>+VLOOKUP($L96,Data_Validation!$A:$F,6,0)</f>
        <v>0</v>
      </c>
    </row>
    <row r="97" spans="1:24" ht="15" hidden="1" customHeight="1">
      <c r="A97" s="1147" t="s">
        <v>2868</v>
      </c>
      <c r="B97" s="1147" t="s">
        <v>2869</v>
      </c>
      <c r="C97" s="1149">
        <v>-14382.83</v>
      </c>
      <c r="D97" s="1149">
        <v>-193.18</v>
      </c>
      <c r="E97" s="1149">
        <v>-14576.01</v>
      </c>
      <c r="F97" s="1147" t="s">
        <v>293</v>
      </c>
      <c r="G97" s="1147" t="s">
        <v>2869</v>
      </c>
      <c r="H97" s="1145"/>
      <c r="I97" s="1145"/>
      <c r="J97" s="1145"/>
      <c r="K97" s="1145"/>
      <c r="L97" s="153" t="str">
        <f t="shared" si="5"/>
        <v>1423</v>
      </c>
      <c r="M97" s="154" t="str">
        <f t="shared" si="6"/>
        <v>RESERVE DEMO</v>
      </c>
      <c r="N97" s="155">
        <f>+IF(OR($Q97=Parametres!$G$2,$Q97=Parametres!$G$3),I97,C97)</f>
        <v>-14382.83</v>
      </c>
      <c r="O97" s="1120">
        <f>+IF(OR($Q97=Parametres!$G$2,$Q97=Parametres!$G$3),J97,D97)</f>
        <v>-193.18</v>
      </c>
      <c r="P97" s="155">
        <f>+IF(OR($Q97=Parametres!$G$2,$Q97=Parametres!$G$3),K97,E97)</f>
        <v>-14576.01</v>
      </c>
      <c r="Q97" s="154" t="str">
        <f t="shared" si="7"/>
        <v>2-Actifs</v>
      </c>
      <c r="R97" s="153" t="str">
        <f t="shared" si="8"/>
        <v>1423</v>
      </c>
      <c r="S97" s="154">
        <f t="shared" si="9"/>
        <v>0</v>
      </c>
      <c r="T97" s="156" t="str">
        <f>+VLOOKUP($L97,Data_Validation!$A:$D,1,0)</f>
        <v>1423</v>
      </c>
      <c r="U97" s="156" t="str">
        <f>+VLOOKUP($L97,Data_Validation!$A:$D,3,0)</f>
        <v>Bilan</v>
      </c>
      <c r="V97" s="156" t="str">
        <f>+VLOOKUP($L97,Data_Validation!$A:$D,4,0)</f>
        <v>Inventaire Véhicules Neufs</v>
      </c>
      <c r="W97" s="156" t="str">
        <f>+VLOOKUP($L97,Data_Validation!$A:$E,5,0)</f>
        <v>$</v>
      </c>
      <c r="X97" s="156">
        <f>+VLOOKUP($L97,Data_Validation!$A:$F,6,0)</f>
        <v>0</v>
      </c>
    </row>
    <row r="98" spans="1:24" ht="15" hidden="1" customHeight="1">
      <c r="A98" s="1147" t="s">
        <v>2870</v>
      </c>
      <c r="B98" s="1147" t="s">
        <v>2871</v>
      </c>
      <c r="C98" s="1149">
        <v>-54614.7</v>
      </c>
      <c r="D98" s="1149">
        <v>-4538.6400000000003</v>
      </c>
      <c r="E98" s="1149">
        <v>-59153.34</v>
      </c>
      <c r="F98" s="1147" t="s">
        <v>293</v>
      </c>
      <c r="G98" s="1147" t="s">
        <v>2872</v>
      </c>
      <c r="H98" s="1145"/>
      <c r="I98" s="1145"/>
      <c r="J98" s="1145"/>
      <c r="K98" s="1145"/>
      <c r="L98" s="153" t="str">
        <f t="shared" si="5"/>
        <v>1433</v>
      </c>
      <c r="M98" s="154" t="str">
        <f t="shared" si="6"/>
        <v>RESERVE COURTOISIE</v>
      </c>
      <c r="N98" s="155">
        <f>+IF(OR($Q98=Parametres!$G$2,$Q98=Parametres!$G$3),I98,C98)</f>
        <v>-54614.7</v>
      </c>
      <c r="O98" s="1120">
        <f>+IF(OR($Q98=Parametres!$G$2,$Q98=Parametres!$G$3),J98,D98)</f>
        <v>-4538.6400000000003</v>
      </c>
      <c r="P98" s="155">
        <f>+IF(OR($Q98=Parametres!$G$2,$Q98=Parametres!$G$3),K98,E98)</f>
        <v>-59153.34</v>
      </c>
      <c r="Q98" s="154" t="str">
        <f t="shared" si="7"/>
        <v>2-Actifs</v>
      </c>
      <c r="R98" s="153" t="str">
        <f t="shared" si="8"/>
        <v>143</v>
      </c>
      <c r="S98" s="154">
        <f t="shared" si="9"/>
        <v>0</v>
      </c>
      <c r="T98" s="156" t="str">
        <f>+VLOOKUP($L98,Data_Validation!$A:$D,1,0)</f>
        <v>1433</v>
      </c>
      <c r="U98" s="156" t="str">
        <f>+VLOOKUP($L98,Data_Validation!$A:$D,3,0)</f>
        <v>Bilan</v>
      </c>
      <c r="V98" s="156" t="str">
        <f>+VLOOKUP($L98,Data_Validation!$A:$D,4,0)</f>
        <v>Inventaire Véhicules Neufs</v>
      </c>
      <c r="W98" s="156" t="str">
        <f>+VLOOKUP($L98,Data_Validation!$A:$E,5,0)</f>
        <v>$</v>
      </c>
      <c r="X98" s="156">
        <f>+VLOOKUP($L98,Data_Validation!$A:$F,6,0)</f>
        <v>0</v>
      </c>
    </row>
    <row r="99" spans="1:24" ht="15.75" hidden="1" customHeight="1">
      <c r="A99" s="1147" t="s">
        <v>2032</v>
      </c>
      <c r="B99" s="1147" t="s">
        <v>2033</v>
      </c>
      <c r="C99" s="1149">
        <v>-16143.63</v>
      </c>
      <c r="D99" s="1149">
        <v>-28153.599999999999</v>
      </c>
      <c r="E99" s="1149">
        <v>-44297.23</v>
      </c>
      <c r="F99" s="1147" t="s">
        <v>293</v>
      </c>
      <c r="G99" s="1147" t="s">
        <v>2033</v>
      </c>
      <c r="H99" s="1145"/>
      <c r="I99" s="1145"/>
      <c r="J99" s="1145"/>
      <c r="K99" s="1145"/>
      <c r="L99" s="153" t="str">
        <f t="shared" si="5"/>
        <v>1442</v>
      </c>
      <c r="M99" s="154" t="str">
        <f t="shared" si="6"/>
        <v>PIECES &amp; ACCESSOIRES NEUFS</v>
      </c>
      <c r="N99" s="155">
        <f>+IF(OR($Q99=Parametres!$G$2,$Q99=Parametres!$G$3),I99,C99)</f>
        <v>-16143.63</v>
      </c>
      <c r="O99" s="1120">
        <f>+IF(OR($Q99=Parametres!$G$2,$Q99=Parametres!$G$3),J99,D99)</f>
        <v>-28153.599999999999</v>
      </c>
      <c r="P99" s="155">
        <f>+IF(OR($Q99=Parametres!$G$2,$Q99=Parametres!$G$3),K99,E99)</f>
        <v>-44297.23</v>
      </c>
      <c r="Q99" s="154" t="str">
        <f t="shared" si="7"/>
        <v>2-Actifs</v>
      </c>
      <c r="R99" s="153" t="str">
        <f t="shared" si="8"/>
        <v>1442</v>
      </c>
      <c r="S99" s="154">
        <f t="shared" si="9"/>
        <v>0</v>
      </c>
      <c r="T99" s="156" t="str">
        <f>+VLOOKUP($L99,Data_Validation!$A:$D,1,0)</f>
        <v>1442</v>
      </c>
      <c r="U99" s="156" t="str">
        <f>+VLOOKUP($L99,Data_Validation!$A:$D,3,0)</f>
        <v>Bilan</v>
      </c>
      <c r="V99" s="156" t="str">
        <f>+VLOOKUP($L99,Data_Validation!$A:$D,4,0)</f>
        <v>Inventaire Pièces, Pneus, Huile</v>
      </c>
      <c r="W99" s="156" t="str">
        <f>+VLOOKUP($L99,Data_Validation!$A:$E,5,0)</f>
        <v>$</v>
      </c>
      <c r="X99" s="156">
        <f>+VLOOKUP($L99,Data_Validation!$A:$F,6,0)</f>
        <v>0</v>
      </c>
    </row>
    <row r="100" spans="1:24" ht="15" hidden="1" customHeight="1">
      <c r="A100" s="1147" t="s">
        <v>2873</v>
      </c>
      <c r="B100" s="1147" t="s">
        <v>2874</v>
      </c>
      <c r="C100" s="1145">
        <v>283.97000000000003</v>
      </c>
      <c r="D100" s="1145">
        <v>-280.27999999999997</v>
      </c>
      <c r="E100" s="1145">
        <v>3.69</v>
      </c>
      <c r="F100" s="1147" t="s">
        <v>293</v>
      </c>
      <c r="G100" s="1147" t="s">
        <v>2033</v>
      </c>
      <c r="H100" s="1145"/>
      <c r="I100" s="1149"/>
      <c r="J100" s="1149"/>
      <c r="K100" s="1149"/>
      <c r="L100" s="153" t="str">
        <f t="shared" si="5"/>
        <v>1448</v>
      </c>
      <c r="M100" s="154" t="str">
        <f t="shared" si="6"/>
        <v>AUTRES MARQUES P&amp;A</v>
      </c>
      <c r="N100" s="155">
        <f>+IF(OR($Q100=Parametres!$G$2,$Q100=Parametres!$G$3),I100,C100)</f>
        <v>283.97000000000003</v>
      </c>
      <c r="O100" s="1120">
        <f>+IF(OR($Q100=Parametres!$G$2,$Q100=Parametres!$G$3),J100,D100)</f>
        <v>-280.27999999999997</v>
      </c>
      <c r="P100" s="155">
        <f>+IF(OR($Q100=Parametres!$G$2,$Q100=Parametres!$G$3),K100,E100)</f>
        <v>3.69</v>
      </c>
      <c r="Q100" s="154" t="str">
        <f t="shared" si="7"/>
        <v>2-Actifs</v>
      </c>
      <c r="R100" s="153" t="str">
        <f t="shared" si="8"/>
        <v>1442</v>
      </c>
      <c r="S100" s="154">
        <f t="shared" si="9"/>
        <v>0</v>
      </c>
      <c r="T100" s="156" t="str">
        <f>+VLOOKUP($L100,Data_Validation!$A:$D,1,0)</f>
        <v>1448</v>
      </c>
      <c r="U100" s="156" t="str">
        <f>+VLOOKUP($L100,Data_Validation!$A:$D,3,0)</f>
        <v>Bilan</v>
      </c>
      <c r="V100" s="156" t="str">
        <f>+VLOOKUP($L100,Data_Validation!$A:$D,4,0)</f>
        <v>Inventaire Pièces, Pneus, Huile</v>
      </c>
      <c r="W100" s="156" t="str">
        <f>+VLOOKUP($L100,Data_Validation!$A:$E,5,0)</f>
        <v>$</v>
      </c>
      <c r="X100" s="156">
        <f>+VLOOKUP($L100,Data_Validation!$A:$F,6,0)</f>
        <v>0</v>
      </c>
    </row>
    <row r="101" spans="1:24" ht="15" hidden="1" customHeight="1">
      <c r="A101" s="1147" t="s">
        <v>2824</v>
      </c>
      <c r="B101" s="1147" t="s">
        <v>2825</v>
      </c>
      <c r="C101" s="1150">
        <v>317844.34999999998</v>
      </c>
      <c r="D101" s="1150">
        <v>21035.25</v>
      </c>
      <c r="E101" s="1150">
        <v>338879.6</v>
      </c>
      <c r="F101" s="1147" t="s">
        <v>293</v>
      </c>
      <c r="G101" s="1147" t="s">
        <v>2033</v>
      </c>
      <c r="H101" s="1145"/>
      <c r="I101" s="1149"/>
      <c r="J101" s="1149"/>
      <c r="K101" s="1149"/>
      <c r="L101" s="153" t="str">
        <f t="shared" si="5"/>
        <v>1452</v>
      </c>
      <c r="M101" s="154" t="str">
        <f t="shared" si="6"/>
        <v>PNEUS</v>
      </c>
      <c r="N101" s="155">
        <f>+IF(OR($Q101=Parametres!$G$2,$Q101=Parametres!$G$3),I101,C101)</f>
        <v>317844.34999999998</v>
      </c>
      <c r="O101" s="1122">
        <f>+IF(OR($Q101=Parametres!$G$2,$Q101=Parametres!$G$3),J101,D101)</f>
        <v>21035.25</v>
      </c>
      <c r="P101" s="155">
        <f>+IF(OR($Q101=Parametres!$G$2,$Q101=Parametres!$G$3),K101,E101)</f>
        <v>338879.6</v>
      </c>
      <c r="Q101" s="154" t="str">
        <f t="shared" si="7"/>
        <v>2-Actifs</v>
      </c>
      <c r="R101" s="153" t="str">
        <f t="shared" si="8"/>
        <v>1442</v>
      </c>
      <c r="S101" s="154">
        <f t="shared" si="9"/>
        <v>0</v>
      </c>
      <c r="T101" s="156" t="str">
        <f>+VLOOKUP($L101,Data_Validation!$A:$D,1,0)</f>
        <v>1452</v>
      </c>
      <c r="U101" s="156" t="str">
        <f>+VLOOKUP($L101,Data_Validation!$A:$D,3,0)</f>
        <v>Bilan</v>
      </c>
      <c r="V101" s="156" t="str">
        <f>+VLOOKUP($L101,Data_Validation!$A:$D,4,0)</f>
        <v>Inventaire Pièces, Pneus, Huile</v>
      </c>
      <c r="W101" s="156" t="str">
        <f>+VLOOKUP($L101,Data_Validation!$A:$E,5,0)</f>
        <v>$</v>
      </c>
      <c r="X101" s="156">
        <f>+VLOOKUP($L101,Data_Validation!$A:$F,6,0)</f>
        <v>0</v>
      </c>
    </row>
    <row r="102" spans="1:24" ht="15" hidden="1" customHeight="1">
      <c r="A102" s="1147" t="s">
        <v>2740</v>
      </c>
      <c r="B102" s="1147" t="s">
        <v>2741</v>
      </c>
      <c r="C102" s="1149">
        <v>50296.61</v>
      </c>
      <c r="D102" s="1149">
        <v>5951.39</v>
      </c>
      <c r="E102" s="1149">
        <v>56248</v>
      </c>
      <c r="F102" s="1147" t="s">
        <v>293</v>
      </c>
      <c r="G102" s="1147" t="s">
        <v>2741</v>
      </c>
      <c r="H102" s="1145"/>
      <c r="I102" s="1145"/>
      <c r="J102" s="1145"/>
      <c r="K102" s="1145"/>
      <c r="L102" s="153" t="str">
        <f t="shared" si="5"/>
        <v>1456</v>
      </c>
      <c r="M102" s="154" t="str">
        <f t="shared" si="6"/>
        <v>PIECES VW NON ORIGINE</v>
      </c>
      <c r="N102" s="155">
        <f>+IF(OR($Q102=Parametres!$G$2,$Q102=Parametres!$G$3),I102,C102)</f>
        <v>50296.61</v>
      </c>
      <c r="O102" s="1122">
        <f>+IF(OR($Q102=Parametres!$G$2,$Q102=Parametres!$G$3),J102,D102)</f>
        <v>5951.39</v>
      </c>
      <c r="P102" s="155">
        <f>+IF(OR($Q102=Parametres!$G$2,$Q102=Parametres!$G$3),K102,E102)</f>
        <v>56248</v>
      </c>
      <c r="Q102" s="154" t="str">
        <f t="shared" si="7"/>
        <v>2-Actifs</v>
      </c>
      <c r="R102" s="153" t="str">
        <f t="shared" si="8"/>
        <v>1456</v>
      </c>
      <c r="S102" s="154">
        <f t="shared" si="9"/>
        <v>0</v>
      </c>
      <c r="T102" s="156" t="str">
        <f>+VLOOKUP($L102,Data_Validation!$A:$D,1,0)</f>
        <v>1456</v>
      </c>
      <c r="U102" s="156" t="str">
        <f>+VLOOKUP($L102,Data_Validation!$A:$D,3,0)</f>
        <v>Bilan</v>
      </c>
      <c r="V102" s="156" t="str">
        <f>+VLOOKUP($L102,Data_Validation!$A:$D,4,0)</f>
        <v>Inventaire Pièces, Pneus, Huile</v>
      </c>
      <c r="W102" s="156" t="str">
        <f>+VLOOKUP($L102,Data_Validation!$A:$E,5,0)</f>
        <v>$</v>
      </c>
      <c r="X102" s="156">
        <f>+VLOOKUP($L102,Data_Validation!$A:$F,6,0)</f>
        <v>0</v>
      </c>
    </row>
    <row r="103" spans="1:24" ht="15.75" hidden="1" customHeight="1">
      <c r="A103" s="1147" t="s">
        <v>2589</v>
      </c>
      <c r="B103" s="1147" t="s">
        <v>2590</v>
      </c>
      <c r="C103" s="1149">
        <v>3834.65</v>
      </c>
      <c r="D103" s="1149">
        <v>1537</v>
      </c>
      <c r="E103" s="1149">
        <v>5371.65</v>
      </c>
      <c r="F103" s="1147" t="s">
        <v>293</v>
      </c>
      <c r="G103" s="1147" t="s">
        <v>2590</v>
      </c>
      <c r="H103" s="1145"/>
      <c r="I103" s="1145"/>
      <c r="J103" s="1145"/>
      <c r="K103" s="1145"/>
      <c r="L103" s="153" t="str">
        <f t="shared" si="5"/>
        <v>1472</v>
      </c>
      <c r="M103" s="154" t="str">
        <f t="shared" si="6"/>
        <v>WIP M-O VW</v>
      </c>
      <c r="N103" s="155">
        <f>+IF(OR($Q103=Parametres!$G$2,$Q103=Parametres!$G$3),I103,C103)</f>
        <v>3834.65</v>
      </c>
      <c r="O103" s="1122">
        <f>+IF(OR($Q103=Parametres!$G$2,$Q103=Parametres!$G$3),J103,D103)</f>
        <v>1537</v>
      </c>
      <c r="P103" s="155">
        <f>+IF(OR($Q103=Parametres!$G$2,$Q103=Parametres!$G$3),K103,E103)</f>
        <v>5371.65</v>
      </c>
      <c r="Q103" s="154" t="str">
        <f t="shared" si="7"/>
        <v>2-Actifs</v>
      </c>
      <c r="R103" s="153" t="str">
        <f t="shared" si="8"/>
        <v>1472</v>
      </c>
      <c r="S103" s="154">
        <f t="shared" si="9"/>
        <v>0</v>
      </c>
      <c r="T103" s="156" t="str">
        <f>+VLOOKUP($L103,Data_Validation!$A:$D,1,0)</f>
        <v>1472</v>
      </c>
      <c r="U103" s="156" t="str">
        <f>+VLOOKUP($L103,Data_Validation!$A:$D,3,0)</f>
        <v>Bilan</v>
      </c>
      <c r="V103" s="156" t="str">
        <f>+VLOOKUP($L103,Data_Validation!$A:$D,4,0)</f>
        <v>Travaux en Cours</v>
      </c>
      <c r="W103" s="156" t="str">
        <f>+VLOOKUP($L103,Data_Validation!$A:$E,5,0)</f>
        <v>$</v>
      </c>
      <c r="X103" s="156">
        <f>+VLOOKUP($L103,Data_Validation!$A:$F,6,0)</f>
        <v>0</v>
      </c>
    </row>
    <row r="104" spans="1:24" ht="15" hidden="1" customHeight="1">
      <c r="A104" s="1147" t="s">
        <v>2763</v>
      </c>
      <c r="B104" s="1147" t="s">
        <v>2764</v>
      </c>
      <c r="C104" s="1149">
        <v>-6122.79</v>
      </c>
      <c r="D104" s="1149">
        <v>3048.4</v>
      </c>
      <c r="E104" s="1149">
        <v>-3074.39</v>
      </c>
      <c r="F104" s="1147" t="s">
        <v>293</v>
      </c>
      <c r="G104" s="1147" t="s">
        <v>2590</v>
      </c>
      <c r="H104" s="1145"/>
      <c r="I104" s="1145"/>
      <c r="J104" s="1145"/>
      <c r="K104" s="1145"/>
      <c r="L104" s="153" t="str">
        <f t="shared" si="5"/>
        <v>1474</v>
      </c>
      <c r="M104" s="154" t="str">
        <f t="shared" si="6"/>
        <v>INVENTAIRE SOUS-TRAITANTS</v>
      </c>
      <c r="N104" s="155">
        <f>+IF(OR($Q104=Parametres!$G$2,$Q104=Parametres!$G$3),I104,C104)</f>
        <v>-6122.79</v>
      </c>
      <c r="O104" s="1122">
        <f>+IF(OR($Q104=Parametres!$G$2,$Q104=Parametres!$G$3),J104,D104)</f>
        <v>3048.4</v>
      </c>
      <c r="P104" s="155">
        <f>+IF(OR($Q104=Parametres!$G$2,$Q104=Parametres!$G$3),K104,E104)</f>
        <v>-3074.39</v>
      </c>
      <c r="Q104" s="154" t="str">
        <f t="shared" si="7"/>
        <v>2-Actifs</v>
      </c>
      <c r="R104" s="153" t="str">
        <f t="shared" si="8"/>
        <v>1472</v>
      </c>
      <c r="S104" s="154">
        <f t="shared" si="9"/>
        <v>0</v>
      </c>
      <c r="T104" s="156" t="str">
        <f>+VLOOKUP($L104,Data_Validation!$A:$D,1,0)</f>
        <v>1474</v>
      </c>
      <c r="U104" s="156" t="str">
        <f>+VLOOKUP($L104,Data_Validation!$A:$D,3,0)</f>
        <v>Bilan</v>
      </c>
      <c r="V104" s="156" t="str">
        <f>+VLOOKUP($L104,Data_Validation!$A:$D,4,0)</f>
        <v>Sous-Traitance</v>
      </c>
      <c r="W104" s="156" t="str">
        <f>+VLOOKUP($L104,Data_Validation!$A:$E,5,0)</f>
        <v>$</v>
      </c>
      <c r="X104" s="156">
        <f>+VLOOKUP($L104,Data_Validation!$A:$F,6,0)</f>
        <v>0</v>
      </c>
    </row>
    <row r="105" spans="1:24" ht="15" hidden="1" customHeight="1">
      <c r="A105" s="1147" t="s">
        <v>2140</v>
      </c>
      <c r="B105" s="1147" t="s">
        <v>2141</v>
      </c>
      <c r="C105" s="1149">
        <v>7393.8</v>
      </c>
      <c r="D105" s="1149">
        <v>11131.69</v>
      </c>
      <c r="E105" s="1149">
        <v>18525.490000000002</v>
      </c>
      <c r="F105" s="1147" t="s">
        <v>293</v>
      </c>
      <c r="G105" s="1147" t="s">
        <v>2033</v>
      </c>
      <c r="H105" s="1145"/>
      <c r="I105" s="1145"/>
      <c r="J105" s="1145"/>
      <c r="K105" s="1145"/>
      <c r="L105" s="153" t="str">
        <f t="shared" si="5"/>
        <v>1492</v>
      </c>
      <c r="M105" s="154" t="str">
        <f t="shared" si="6"/>
        <v>CARBURANT, HUILE, GRAISSE</v>
      </c>
      <c r="N105" s="155">
        <f>+IF(OR($Q105=Parametres!$G$2,$Q105=Parametres!$G$3),I105,C105)</f>
        <v>7393.8</v>
      </c>
      <c r="O105" s="1122">
        <f>+IF(OR($Q105=Parametres!$G$2,$Q105=Parametres!$G$3),J105,D105)</f>
        <v>11131.69</v>
      </c>
      <c r="P105" s="155">
        <f>+IF(OR($Q105=Parametres!$G$2,$Q105=Parametres!$G$3),K105,E105)</f>
        <v>18525.490000000002</v>
      </c>
      <c r="Q105" s="154" t="str">
        <f t="shared" si="7"/>
        <v>2-Actifs</v>
      </c>
      <c r="R105" s="153" t="str">
        <f t="shared" si="8"/>
        <v>1442</v>
      </c>
      <c r="S105" s="154">
        <f t="shared" si="9"/>
        <v>0</v>
      </c>
      <c r="T105" s="156" t="str">
        <f>+VLOOKUP($L105,Data_Validation!$A:$D,1,0)</f>
        <v>1492</v>
      </c>
      <c r="U105" s="156" t="str">
        <f>+VLOOKUP($L105,Data_Validation!$A:$D,3,0)</f>
        <v>Bilan</v>
      </c>
      <c r="V105" s="156" t="str">
        <f>+VLOOKUP($L105,Data_Validation!$A:$D,4,0)</f>
        <v>Inventaire Pièces, Pneus, Huile</v>
      </c>
      <c r="W105" s="156" t="str">
        <f>+VLOOKUP($L105,Data_Validation!$A:$E,5,0)</f>
        <v>$</v>
      </c>
      <c r="X105" s="156">
        <f>+VLOOKUP($L105,Data_Validation!$A:$F,6,0)</f>
        <v>0</v>
      </c>
    </row>
    <row r="106" spans="1:24" ht="15" hidden="1" customHeight="1">
      <c r="A106" s="1147" t="s">
        <v>2691</v>
      </c>
      <c r="B106" s="1147" t="s">
        <v>2692</v>
      </c>
      <c r="C106" s="1149">
        <v>55.02</v>
      </c>
      <c r="D106" s="1149">
        <v>0</v>
      </c>
      <c r="E106" s="1149">
        <v>55.02</v>
      </c>
      <c r="F106" s="1147" t="s">
        <v>293</v>
      </c>
      <c r="G106" s="1147" t="s">
        <v>2692</v>
      </c>
      <c r="H106" s="1145"/>
      <c r="I106" s="1145"/>
      <c r="J106" s="1145"/>
      <c r="K106" s="1145"/>
      <c r="L106" s="153" t="str">
        <f t="shared" si="5"/>
        <v>1498</v>
      </c>
      <c r="M106" s="154" t="str">
        <f t="shared" si="6"/>
        <v>AUTRES INVENTAIRES</v>
      </c>
      <c r="N106" s="155">
        <f>+IF(OR($Q106=Parametres!$G$2,$Q106=Parametres!$G$3),I106,C106)</f>
        <v>55.02</v>
      </c>
      <c r="O106" s="1122">
        <f>+IF(OR($Q106=Parametres!$G$2,$Q106=Parametres!$G$3),J106,D106)</f>
        <v>0</v>
      </c>
      <c r="P106" s="155">
        <f>+IF(OR($Q106=Parametres!$G$2,$Q106=Parametres!$G$3),K106,E106)</f>
        <v>55.02</v>
      </c>
      <c r="Q106" s="154" t="str">
        <f t="shared" si="7"/>
        <v>2-Actifs</v>
      </c>
      <c r="R106" s="153" t="str">
        <f t="shared" si="8"/>
        <v>1498</v>
      </c>
      <c r="S106" s="154">
        <f t="shared" si="9"/>
        <v>0</v>
      </c>
      <c r="T106" s="156" t="str">
        <f>+VLOOKUP($L106,Data_Validation!$A:$D,1,0)</f>
        <v>1498</v>
      </c>
      <c r="U106" s="156" t="str">
        <f>+VLOOKUP($L106,Data_Validation!$A:$D,3,0)</f>
        <v>Bilan</v>
      </c>
      <c r="V106" s="156" t="str">
        <f>+VLOOKUP($L106,Data_Validation!$A:$D,4,0)</f>
        <v>Inventaire Pièces, Pneus, Huile</v>
      </c>
      <c r="W106" s="156" t="str">
        <f>+VLOOKUP($L106,Data_Validation!$A:$E,5,0)</f>
        <v>$</v>
      </c>
      <c r="X106" s="156">
        <f>+VLOOKUP($L106,Data_Validation!$A:$F,6,0)</f>
        <v>0</v>
      </c>
    </row>
    <row r="107" spans="1:24" ht="15" hidden="1" customHeight="1">
      <c r="A107" s="1147" t="s">
        <v>2104</v>
      </c>
      <c r="B107" s="1147" t="s">
        <v>2105</v>
      </c>
      <c r="C107" s="1149">
        <v>-1484.54</v>
      </c>
      <c r="D107" s="1149">
        <v>203.74</v>
      </c>
      <c r="E107" s="1149">
        <v>-1280.8</v>
      </c>
      <c r="F107" s="1147" t="s">
        <v>293</v>
      </c>
      <c r="G107" s="1147" t="s">
        <v>2106</v>
      </c>
      <c r="H107" s="1145"/>
      <c r="I107" s="1145"/>
      <c r="J107" s="1145"/>
      <c r="K107" s="1145"/>
      <c r="L107" s="153" t="str">
        <f t="shared" si="5"/>
        <v>1502</v>
      </c>
      <c r="M107" s="154" t="str">
        <f t="shared" si="6"/>
        <v>FPA PUB.VEHICULES NEUFS</v>
      </c>
      <c r="N107" s="155">
        <f>+IF(OR($Q107=Parametres!$G$2,$Q107=Parametres!$G$3),I107,C107)</f>
        <v>-1484.54</v>
      </c>
      <c r="O107" s="1122">
        <f>+IF(OR($Q107=Parametres!$G$2,$Q107=Parametres!$G$3),J107,D107)</f>
        <v>203.74</v>
      </c>
      <c r="P107" s="155">
        <f>+IF(OR($Q107=Parametres!$G$2,$Q107=Parametres!$G$3),K107,E107)</f>
        <v>-1280.8</v>
      </c>
      <c r="Q107" s="154" t="str">
        <f t="shared" si="7"/>
        <v>2-Actifs</v>
      </c>
      <c r="R107" s="153" t="str">
        <f t="shared" si="8"/>
        <v>1500</v>
      </c>
      <c r="S107" s="154">
        <f t="shared" si="9"/>
        <v>0</v>
      </c>
      <c r="T107" s="156" t="str">
        <f>+VLOOKUP($L107,Data_Validation!$A:$D,1,0)</f>
        <v>1502</v>
      </c>
      <c r="U107" s="156" t="str">
        <f>+VLOOKUP($L107,Data_Validation!$A:$D,3,0)</f>
        <v>Bilan</v>
      </c>
      <c r="V107" s="156" t="str">
        <f>+VLOOKUP($L107,Data_Validation!$A:$D,4,0)</f>
        <v>Frais Payés d'Avance</v>
      </c>
      <c r="W107" s="156" t="str">
        <f>+VLOOKUP($L107,Data_Validation!$A:$E,5,0)</f>
        <v>$</v>
      </c>
      <c r="X107" s="156">
        <f>+VLOOKUP($L107,Data_Validation!$A:$F,6,0)</f>
        <v>0</v>
      </c>
    </row>
    <row r="108" spans="1:24" ht="15" hidden="1" customHeight="1">
      <c r="A108" s="1147" t="s">
        <v>2130</v>
      </c>
      <c r="B108" s="1147" t="s">
        <v>2131</v>
      </c>
      <c r="C108" s="1149">
        <v>-1740</v>
      </c>
      <c r="D108" s="1149">
        <v>1085</v>
      </c>
      <c r="E108" s="1149">
        <v>-655</v>
      </c>
      <c r="F108" s="1147" t="s">
        <v>293</v>
      </c>
      <c r="G108" s="1147" t="s">
        <v>2106</v>
      </c>
      <c r="H108" s="1145"/>
      <c r="I108" s="1145"/>
      <c r="J108" s="1145"/>
      <c r="K108" s="1145"/>
      <c r="L108" s="153" t="str">
        <f t="shared" si="5"/>
        <v>1504</v>
      </c>
      <c r="M108" s="154" t="str">
        <f t="shared" si="6"/>
        <v>PUBLICITE VEH USAGES</v>
      </c>
      <c r="N108" s="155">
        <f>+IF(OR($Q108=Parametres!$G$2,$Q108=Parametres!$G$3),I108,C108)</f>
        <v>-1740</v>
      </c>
      <c r="O108" s="1122">
        <f>+IF(OR($Q108=Parametres!$G$2,$Q108=Parametres!$G$3),J108,D108)</f>
        <v>1085</v>
      </c>
      <c r="P108" s="155">
        <f>+IF(OR($Q108=Parametres!$G$2,$Q108=Parametres!$G$3),K108,E108)</f>
        <v>-655</v>
      </c>
      <c r="Q108" s="154" t="str">
        <f t="shared" si="7"/>
        <v>2-Actifs</v>
      </c>
      <c r="R108" s="153" t="str">
        <f t="shared" si="8"/>
        <v>1500</v>
      </c>
      <c r="S108" s="154">
        <f t="shared" si="9"/>
        <v>0</v>
      </c>
      <c r="T108" s="156" t="str">
        <f>+VLOOKUP($L108,Data_Validation!$A:$D,1,0)</f>
        <v>1504</v>
      </c>
      <c r="U108" s="156" t="str">
        <f>+VLOOKUP($L108,Data_Validation!$A:$D,3,0)</f>
        <v>Bilan</v>
      </c>
      <c r="V108" s="156" t="str">
        <f>+VLOOKUP($L108,Data_Validation!$A:$D,4,0)</f>
        <v>Frais Payés d'Avance</v>
      </c>
      <c r="W108" s="156" t="str">
        <f>+VLOOKUP($L108,Data_Validation!$A:$E,5,0)</f>
        <v>$</v>
      </c>
      <c r="X108" s="156">
        <f>+VLOOKUP($L108,Data_Validation!$A:$F,6,0)</f>
        <v>0</v>
      </c>
    </row>
    <row r="109" spans="1:24" ht="15.75" hidden="1" customHeight="1">
      <c r="A109" s="1147" t="s">
        <v>2806</v>
      </c>
      <c r="B109" s="1147" t="s">
        <v>2807</v>
      </c>
      <c r="C109" s="1149">
        <v>-1594.8</v>
      </c>
      <c r="D109" s="1149">
        <v>1594.8</v>
      </c>
      <c r="E109" s="1149">
        <v>0</v>
      </c>
      <c r="F109" s="1147" t="s">
        <v>293</v>
      </c>
      <c r="G109" s="1147" t="s">
        <v>2106</v>
      </c>
      <c r="H109" s="1145"/>
      <c r="I109" s="1145"/>
      <c r="J109" s="1145"/>
      <c r="K109" s="1145"/>
      <c r="L109" s="153" t="str">
        <f t="shared" si="5"/>
        <v>1506</v>
      </c>
      <c r="M109" s="154" t="str">
        <f t="shared" si="6"/>
        <v>FPA PUBLICITE SERVICE</v>
      </c>
      <c r="N109" s="155">
        <f>+IF(OR($Q109=Parametres!$G$2,$Q109=Parametres!$G$3),I109,C109)</f>
        <v>-1594.8</v>
      </c>
      <c r="O109" s="1122">
        <f>+IF(OR($Q109=Parametres!$G$2,$Q109=Parametres!$G$3),J109,D109)</f>
        <v>1594.8</v>
      </c>
      <c r="P109" s="155">
        <f>+IF(OR($Q109=Parametres!$G$2,$Q109=Parametres!$G$3),K109,E109)</f>
        <v>0</v>
      </c>
      <c r="Q109" s="154" t="str">
        <f t="shared" si="7"/>
        <v>2-Actifs</v>
      </c>
      <c r="R109" s="153" t="str">
        <f t="shared" si="8"/>
        <v>1500</v>
      </c>
      <c r="S109" s="154">
        <f t="shared" si="9"/>
        <v>0</v>
      </c>
      <c r="T109" s="156" t="str">
        <f>+VLOOKUP($L109,Data_Validation!$A:$D,1,0)</f>
        <v>1506</v>
      </c>
      <c r="U109" s="156" t="str">
        <f>+VLOOKUP($L109,Data_Validation!$A:$D,3,0)</f>
        <v>Bilan</v>
      </c>
      <c r="V109" s="156" t="str">
        <f>+VLOOKUP($L109,Data_Validation!$A:$D,4,0)</f>
        <v>Frais Payés d'Avance</v>
      </c>
      <c r="W109" s="156" t="str">
        <f>+VLOOKUP($L109,Data_Validation!$A:$E,5,0)</f>
        <v>$</v>
      </c>
      <c r="X109" s="156">
        <f>+VLOOKUP($L109,Data_Validation!$A:$F,6,0)</f>
        <v>0</v>
      </c>
    </row>
    <row r="110" spans="1:24" ht="15" hidden="1" customHeight="1">
      <c r="A110" s="1147" t="s">
        <v>2642</v>
      </c>
      <c r="B110" s="1147" t="s">
        <v>2643</v>
      </c>
      <c r="C110" s="1149">
        <v>3977.95</v>
      </c>
      <c r="D110" s="1149">
        <v>-178</v>
      </c>
      <c r="E110" s="1149">
        <v>3799.95</v>
      </c>
      <c r="F110" s="1147" t="s">
        <v>293</v>
      </c>
      <c r="G110" s="1147" t="s">
        <v>2106</v>
      </c>
      <c r="H110" s="1145"/>
      <c r="I110" s="1145"/>
      <c r="J110" s="1145"/>
      <c r="K110" s="1145"/>
      <c r="L110" s="153" t="str">
        <f t="shared" si="5"/>
        <v>1510</v>
      </c>
      <c r="M110" s="154" t="str">
        <f t="shared" si="6"/>
        <v>DIAMOND KOTE (NANO)</v>
      </c>
      <c r="N110" s="155">
        <f>+IF(OR($Q110=Parametres!$G$2,$Q110=Parametres!$G$3),I110,C110)</f>
        <v>3977.95</v>
      </c>
      <c r="O110" s="1120">
        <f>+IF(OR($Q110=Parametres!$G$2,$Q110=Parametres!$G$3),J110,D110)</f>
        <v>-178</v>
      </c>
      <c r="P110" s="155">
        <f>+IF(OR($Q110=Parametres!$G$2,$Q110=Parametres!$G$3),K110,E110)</f>
        <v>3799.95</v>
      </c>
      <c r="Q110" s="154" t="str">
        <f t="shared" si="7"/>
        <v>2-Actifs</v>
      </c>
      <c r="R110" s="153" t="str">
        <f t="shared" si="8"/>
        <v>1500</v>
      </c>
      <c r="S110" s="154">
        <f t="shared" si="9"/>
        <v>0</v>
      </c>
      <c r="T110" s="156" t="str">
        <f>+VLOOKUP($L110,Data_Validation!$A:$D,1,0)</f>
        <v>1510</v>
      </c>
      <c r="U110" s="156" t="str">
        <f>+VLOOKUP($L110,Data_Validation!$A:$D,3,0)</f>
        <v>Bilan</v>
      </c>
      <c r="V110" s="156" t="str">
        <f>+VLOOKUP($L110,Data_Validation!$A:$D,4,0)</f>
        <v>Frais Payés d'Avance</v>
      </c>
      <c r="W110" s="156" t="str">
        <f>+VLOOKUP($L110,Data_Validation!$A:$E,5,0)</f>
        <v>$</v>
      </c>
      <c r="X110" s="156">
        <f>+VLOOKUP($L110,Data_Validation!$A:$F,6,0)</f>
        <v>0</v>
      </c>
    </row>
    <row r="111" spans="1:24" ht="15" hidden="1" customHeight="1">
      <c r="A111" s="1147" t="s">
        <v>2152</v>
      </c>
      <c r="B111" s="1147" t="s">
        <v>2153</v>
      </c>
      <c r="C111" s="1149">
        <v>9042.84</v>
      </c>
      <c r="D111" s="1149">
        <v>-702.81</v>
      </c>
      <c r="E111" s="1149">
        <v>8340.0300000000007</v>
      </c>
      <c r="F111" s="1147" t="s">
        <v>293</v>
      </c>
      <c r="G111" s="1147" t="s">
        <v>2106</v>
      </c>
      <c r="H111" s="1145"/>
      <c r="I111" s="1145"/>
      <c r="J111" s="1145"/>
      <c r="K111" s="1145"/>
      <c r="L111" s="153" t="str">
        <f t="shared" si="5"/>
        <v>1520</v>
      </c>
      <c r="M111" s="154" t="str">
        <f t="shared" si="6"/>
        <v>FPA IMMATRICULATION</v>
      </c>
      <c r="N111" s="155">
        <f>+IF(OR($Q111=Parametres!$G$2,$Q111=Parametres!$G$3),I111,C111)</f>
        <v>9042.84</v>
      </c>
      <c r="O111" s="1122">
        <f>+IF(OR($Q111=Parametres!$G$2,$Q111=Parametres!$G$3),J111,D111)</f>
        <v>-702.81</v>
      </c>
      <c r="P111" s="155">
        <f>+IF(OR($Q111=Parametres!$G$2,$Q111=Parametres!$G$3),K111,E111)</f>
        <v>8340.0300000000007</v>
      </c>
      <c r="Q111" s="154" t="str">
        <f t="shared" si="7"/>
        <v>2-Actifs</v>
      </c>
      <c r="R111" s="153" t="str">
        <f t="shared" si="8"/>
        <v>1500</v>
      </c>
      <c r="S111" s="154">
        <f t="shared" si="9"/>
        <v>0</v>
      </c>
      <c r="T111" s="156" t="str">
        <f>+VLOOKUP($L111,Data_Validation!$A:$D,1,0)</f>
        <v>1520</v>
      </c>
      <c r="U111" s="156" t="str">
        <f>+VLOOKUP($L111,Data_Validation!$A:$D,3,0)</f>
        <v>Bilan</v>
      </c>
      <c r="V111" s="156" t="str">
        <f>+VLOOKUP($L111,Data_Validation!$A:$D,4,0)</f>
        <v>Frais Payés d'Avance</v>
      </c>
      <c r="W111" s="156" t="str">
        <f>+VLOOKUP($L111,Data_Validation!$A:$E,5,0)</f>
        <v>$</v>
      </c>
      <c r="X111" s="156">
        <f>+VLOOKUP($L111,Data_Validation!$A:$F,6,0)</f>
        <v>0</v>
      </c>
    </row>
    <row r="112" spans="1:24" ht="15" hidden="1" customHeight="1">
      <c r="A112" s="1147" t="s">
        <v>2605</v>
      </c>
      <c r="B112" s="1147" t="s">
        <v>2606</v>
      </c>
      <c r="C112" s="1149">
        <v>-85</v>
      </c>
      <c r="D112" s="1149">
        <v>0</v>
      </c>
      <c r="E112" s="1149">
        <v>-85</v>
      </c>
      <c r="F112" s="1147" t="s">
        <v>293</v>
      </c>
      <c r="G112" s="1147" t="s">
        <v>2106</v>
      </c>
      <c r="H112" s="1145"/>
      <c r="I112" s="1145"/>
      <c r="J112" s="1145"/>
      <c r="K112" s="1145"/>
      <c r="L112" s="153" t="str">
        <f t="shared" si="5"/>
        <v>1530</v>
      </c>
      <c r="M112" s="154" t="str">
        <f t="shared" si="6"/>
        <v>FPA PAPETERIE</v>
      </c>
      <c r="N112" s="155">
        <f>+IF(OR($Q112=Parametres!$G$2,$Q112=Parametres!$G$3),I112,C112)</f>
        <v>-85</v>
      </c>
      <c r="O112" s="1122">
        <f>+IF(OR($Q112=Parametres!$G$2,$Q112=Parametres!$G$3),J112,D112)</f>
        <v>0</v>
      </c>
      <c r="P112" s="155">
        <f>+IF(OR($Q112=Parametres!$G$2,$Q112=Parametres!$G$3),K112,E112)</f>
        <v>-85</v>
      </c>
      <c r="Q112" s="154" t="str">
        <f t="shared" si="7"/>
        <v>2-Actifs</v>
      </c>
      <c r="R112" s="153" t="str">
        <f t="shared" si="8"/>
        <v>1500</v>
      </c>
      <c r="S112" s="154">
        <f t="shared" si="9"/>
        <v>0</v>
      </c>
      <c r="T112" s="156" t="str">
        <f>+VLOOKUP($L112,Data_Validation!$A:$D,1,0)</f>
        <v>1530</v>
      </c>
      <c r="U112" s="156" t="str">
        <f>+VLOOKUP($L112,Data_Validation!$A:$D,3,0)</f>
        <v>Bilan</v>
      </c>
      <c r="V112" s="156" t="str">
        <f>+VLOOKUP($L112,Data_Validation!$A:$D,4,0)</f>
        <v>Frais Payés d'Avance</v>
      </c>
      <c r="W112" s="156" t="str">
        <f>+VLOOKUP($L112,Data_Validation!$A:$E,5,0)</f>
        <v>$</v>
      </c>
      <c r="X112" s="156">
        <f>+VLOOKUP($L112,Data_Validation!$A:$F,6,0)</f>
        <v>0</v>
      </c>
    </row>
    <row r="113" spans="1:24" ht="15.75" hidden="1" customHeight="1">
      <c r="A113" s="1147" t="s">
        <v>2181</v>
      </c>
      <c r="B113" s="1147" t="s">
        <v>2182</v>
      </c>
      <c r="C113" s="1149">
        <v>1769.3</v>
      </c>
      <c r="D113" s="1149">
        <v>0</v>
      </c>
      <c r="E113" s="1149">
        <v>1769.3</v>
      </c>
      <c r="F113" s="1147" t="s">
        <v>293</v>
      </c>
      <c r="G113" s="1147" t="s">
        <v>2106</v>
      </c>
      <c r="H113" s="1013"/>
      <c r="I113" s="1013"/>
      <c r="J113" s="1013"/>
      <c r="K113" s="1013"/>
      <c r="L113" s="153" t="str">
        <f t="shared" si="5"/>
        <v>1532</v>
      </c>
      <c r="M113" s="154" t="str">
        <f t="shared" si="6"/>
        <v>FPA C.C.A.M.Q.</v>
      </c>
      <c r="N113" s="155">
        <f>+IF(OR($Q113=Parametres!$G$2,$Q113=Parametres!$G$3),I113,C113)</f>
        <v>1769.3</v>
      </c>
      <c r="O113" s="1122">
        <f>+IF(OR($Q113=Parametres!$G$2,$Q113=Parametres!$G$3),J113,D113)</f>
        <v>0</v>
      </c>
      <c r="P113" s="155">
        <f>+IF(OR($Q113=Parametres!$G$2,$Q113=Parametres!$G$3),K113,E113)</f>
        <v>1769.3</v>
      </c>
      <c r="Q113" s="154" t="str">
        <f t="shared" si="7"/>
        <v>2-Actifs</v>
      </c>
      <c r="R113" s="153" t="str">
        <f t="shared" si="8"/>
        <v>1500</v>
      </c>
      <c r="S113" s="154">
        <f t="shared" si="9"/>
        <v>0</v>
      </c>
      <c r="T113" s="156" t="str">
        <f>+VLOOKUP($L113,Data_Validation!$A:$D,1,0)</f>
        <v>1532</v>
      </c>
      <c r="U113" s="156" t="str">
        <f>+VLOOKUP($L113,Data_Validation!$A:$D,3,0)</f>
        <v>Bilan</v>
      </c>
      <c r="V113" s="156" t="str">
        <f>+VLOOKUP($L113,Data_Validation!$A:$D,4,0)</f>
        <v>Frais Payés d'Avance</v>
      </c>
      <c r="W113" s="156" t="str">
        <f>+VLOOKUP($L113,Data_Validation!$A:$E,5,0)</f>
        <v>$</v>
      </c>
      <c r="X113" s="156">
        <f>+VLOOKUP($L113,Data_Validation!$A:$F,6,0)</f>
        <v>0</v>
      </c>
    </row>
    <row r="114" spans="1:24" ht="15" hidden="1" customHeight="1">
      <c r="A114" s="1147" t="s">
        <v>2199</v>
      </c>
      <c r="B114" s="1147" t="s">
        <v>2200</v>
      </c>
      <c r="C114" s="1149">
        <v>-30.19</v>
      </c>
      <c r="D114" s="1149">
        <v>0</v>
      </c>
      <c r="E114" s="1149">
        <v>-30.19</v>
      </c>
      <c r="F114" s="1147" t="s">
        <v>293</v>
      </c>
      <c r="G114" s="1147" t="s">
        <v>2106</v>
      </c>
      <c r="H114" s="948"/>
      <c r="I114" s="948"/>
      <c r="J114" s="948"/>
      <c r="K114" s="948"/>
      <c r="L114" s="153" t="str">
        <f t="shared" si="5"/>
        <v>1534</v>
      </c>
      <c r="M114" s="154" t="str">
        <f t="shared" si="6"/>
        <v>FPA FOURNITURES LAVAGE</v>
      </c>
      <c r="N114" s="155">
        <f>+IF(OR($Q114=Parametres!$G$2,$Q114=Parametres!$G$3),I114,C114)</f>
        <v>-30.19</v>
      </c>
      <c r="O114" s="1122">
        <f>+IF(OR($Q114=Parametres!$G$2,$Q114=Parametres!$G$3),J114,D114)</f>
        <v>0</v>
      </c>
      <c r="P114" s="155">
        <f>+IF(OR($Q114=Parametres!$G$2,$Q114=Parametres!$G$3),K114,E114)</f>
        <v>-30.19</v>
      </c>
      <c r="Q114" s="154" t="str">
        <f t="shared" si="7"/>
        <v>2-Actifs</v>
      </c>
      <c r="R114" s="153" t="str">
        <f t="shared" si="8"/>
        <v>1500</v>
      </c>
      <c r="S114" s="154">
        <f t="shared" si="9"/>
        <v>0</v>
      </c>
      <c r="T114" s="156" t="str">
        <f>+VLOOKUP($L114,Data_Validation!$A:$D,1,0)</f>
        <v>1534</v>
      </c>
      <c r="U114" s="156" t="str">
        <f>+VLOOKUP($L114,Data_Validation!$A:$D,3,0)</f>
        <v>Bilan</v>
      </c>
      <c r="V114" s="156" t="str">
        <f>+VLOOKUP($L114,Data_Validation!$A:$D,4,0)</f>
        <v>Frais Payés d'Avance</v>
      </c>
      <c r="W114" s="156" t="str">
        <f>+VLOOKUP($L114,Data_Validation!$A:$E,5,0)</f>
        <v>$</v>
      </c>
      <c r="X114" s="156">
        <f>+VLOOKUP($L114,Data_Validation!$A:$F,6,0)</f>
        <v>0</v>
      </c>
    </row>
    <row r="115" spans="1:24" ht="15" hidden="1" customHeight="1">
      <c r="A115" s="1147" t="s">
        <v>2682</v>
      </c>
      <c r="B115" s="1147" t="s">
        <v>2683</v>
      </c>
      <c r="C115" s="1149">
        <v>-431.25</v>
      </c>
      <c r="D115" s="1149">
        <v>0</v>
      </c>
      <c r="E115" s="1149">
        <v>-431.25</v>
      </c>
      <c r="F115" s="1147" t="s">
        <v>293</v>
      </c>
      <c r="G115" s="1147" t="s">
        <v>2106</v>
      </c>
      <c r="H115" s="948"/>
      <c r="I115" s="947"/>
      <c r="J115" s="947"/>
      <c r="K115" s="947"/>
      <c r="L115" s="153" t="str">
        <f t="shared" si="5"/>
        <v>1538</v>
      </c>
      <c r="M115" s="154" t="str">
        <f t="shared" si="6"/>
        <v>FPA FORMATION</v>
      </c>
      <c r="N115" s="155">
        <f>+IF(OR($Q115=Parametres!$G$2,$Q115=Parametres!$G$3),I115,C115)</f>
        <v>-431.25</v>
      </c>
      <c r="O115" s="1122">
        <f>+IF(OR($Q115=Parametres!$G$2,$Q115=Parametres!$G$3),J115,D115)</f>
        <v>0</v>
      </c>
      <c r="P115" s="155">
        <f>+IF(OR($Q115=Parametres!$G$2,$Q115=Parametres!$G$3),K115,E115)</f>
        <v>-431.25</v>
      </c>
      <c r="Q115" s="154" t="str">
        <f t="shared" si="7"/>
        <v>2-Actifs</v>
      </c>
      <c r="R115" s="153" t="str">
        <f t="shared" si="8"/>
        <v>1500</v>
      </c>
      <c r="S115" s="154">
        <f t="shared" si="9"/>
        <v>0</v>
      </c>
      <c r="T115" s="156" t="str">
        <f>+VLOOKUP($L115,Data_Validation!$A:$D,1,0)</f>
        <v>1538</v>
      </c>
      <c r="U115" s="156" t="str">
        <f>+VLOOKUP($L115,Data_Validation!$A:$D,3,0)</f>
        <v>Bilan</v>
      </c>
      <c r="V115" s="156" t="str">
        <f>+VLOOKUP($L115,Data_Validation!$A:$D,4,0)</f>
        <v>Frais Payés d'Avance</v>
      </c>
      <c r="W115" s="156" t="str">
        <f>+VLOOKUP($L115,Data_Validation!$A:$E,5,0)</f>
        <v>$</v>
      </c>
      <c r="X115" s="156">
        <f>+VLOOKUP($L115,Data_Validation!$A:$F,6,0)</f>
        <v>0</v>
      </c>
    </row>
    <row r="116" spans="1:24" ht="15" hidden="1" customHeight="1">
      <c r="A116" s="1147" t="s">
        <v>2785</v>
      </c>
      <c r="B116" s="1147" t="s">
        <v>2786</v>
      </c>
      <c r="C116" s="1149">
        <v>537.86</v>
      </c>
      <c r="D116" s="1149">
        <v>-537.86</v>
      </c>
      <c r="E116" s="1149">
        <v>0</v>
      </c>
      <c r="F116" s="1147" t="s">
        <v>293</v>
      </c>
      <c r="G116" s="1147" t="s">
        <v>2106</v>
      </c>
      <c r="H116" s="150"/>
      <c r="I116" s="151"/>
      <c r="J116" s="151"/>
      <c r="K116" s="151"/>
      <c r="L116" s="153" t="str">
        <f t="shared" si="5"/>
        <v>1540</v>
      </c>
      <c r="M116" s="154" t="str">
        <f t="shared" si="6"/>
        <v>FPA CONTRATS DE SERVICES</v>
      </c>
      <c r="N116" s="155">
        <f>+IF(OR($Q116=Parametres!$G$2,$Q116=Parametres!$G$3),I116,C116)</f>
        <v>537.86</v>
      </c>
      <c r="O116" s="1122">
        <f>+IF(OR($Q116=Parametres!$G$2,$Q116=Parametres!$G$3),J116,D116)</f>
        <v>-537.86</v>
      </c>
      <c r="P116" s="155">
        <f>+IF(OR($Q116=Parametres!$G$2,$Q116=Parametres!$G$3),K116,E116)</f>
        <v>0</v>
      </c>
      <c r="Q116" s="154" t="str">
        <f t="shared" si="7"/>
        <v>2-Actifs</v>
      </c>
      <c r="R116" s="153" t="str">
        <f t="shared" si="8"/>
        <v>1500</v>
      </c>
      <c r="S116" s="154">
        <f t="shared" si="9"/>
        <v>0</v>
      </c>
      <c r="T116" s="156" t="str">
        <f>+VLOOKUP($L116,Data_Validation!$A:$D,1,0)</f>
        <v>1540</v>
      </c>
      <c r="U116" s="156" t="str">
        <f>+VLOOKUP($L116,Data_Validation!$A:$D,3,0)</f>
        <v>Bilan</v>
      </c>
      <c r="V116" s="156" t="str">
        <f>+VLOOKUP($L116,Data_Validation!$A:$D,4,0)</f>
        <v>Frais Payés d'Avance</v>
      </c>
      <c r="W116" s="156" t="str">
        <f>+VLOOKUP($L116,Data_Validation!$A:$E,5,0)</f>
        <v>$</v>
      </c>
      <c r="X116" s="156">
        <f>+VLOOKUP($L116,Data_Validation!$A:$F,6,0)</f>
        <v>0</v>
      </c>
    </row>
    <row r="117" spans="1:24" ht="15.75" hidden="1" customHeight="1">
      <c r="A117" s="1147" t="s">
        <v>2201</v>
      </c>
      <c r="B117" s="1147" t="s">
        <v>2202</v>
      </c>
      <c r="C117" s="1149">
        <v>-3525.13</v>
      </c>
      <c r="D117" s="1149">
        <v>0</v>
      </c>
      <c r="E117" s="1149">
        <v>-3525.13</v>
      </c>
      <c r="F117" s="1147" t="s">
        <v>293</v>
      </c>
      <c r="G117" s="1147" t="s">
        <v>2106</v>
      </c>
      <c r="H117" s="150"/>
      <c r="I117" s="151"/>
      <c r="J117" s="151"/>
      <c r="K117" s="151"/>
      <c r="L117" s="153" t="str">
        <f t="shared" si="5"/>
        <v>1544</v>
      </c>
      <c r="M117" s="154" t="str">
        <f t="shared" si="6"/>
        <v>FPA GAZ METROPOLITAIN</v>
      </c>
      <c r="N117" s="155">
        <f>+IF(OR($Q117=Parametres!$G$2,$Q117=Parametres!$G$3),I117,C117)</f>
        <v>-3525.13</v>
      </c>
      <c r="O117" s="1122">
        <f>+IF(OR($Q117=Parametres!$G$2,$Q117=Parametres!$G$3),J117,D117)</f>
        <v>0</v>
      </c>
      <c r="P117" s="155">
        <f>+IF(OR($Q117=Parametres!$G$2,$Q117=Parametres!$G$3),K117,E117)</f>
        <v>-3525.13</v>
      </c>
      <c r="Q117" s="154" t="str">
        <f t="shared" si="7"/>
        <v>2-Actifs</v>
      </c>
      <c r="R117" s="153" t="str">
        <f t="shared" si="8"/>
        <v>1500</v>
      </c>
      <c r="S117" s="154">
        <f t="shared" si="9"/>
        <v>0</v>
      </c>
      <c r="T117" s="156" t="str">
        <f>+VLOOKUP($L117,Data_Validation!$A:$D,1,0)</f>
        <v>1544</v>
      </c>
      <c r="U117" s="156" t="str">
        <f>+VLOOKUP($L117,Data_Validation!$A:$D,3,0)</f>
        <v>Bilan</v>
      </c>
      <c r="V117" s="156" t="str">
        <f>+VLOOKUP($L117,Data_Validation!$A:$D,4,0)</f>
        <v>Autres Courus</v>
      </c>
      <c r="W117" s="156" t="str">
        <f>+VLOOKUP($L117,Data_Validation!$A:$E,5,0)</f>
        <v>$</v>
      </c>
      <c r="X117" s="156">
        <f>+VLOOKUP($L117,Data_Validation!$A:$F,6,0)</f>
        <v>0</v>
      </c>
    </row>
    <row r="118" spans="1:24" ht="15" hidden="1" customHeight="1">
      <c r="A118" s="1147" t="s">
        <v>2122</v>
      </c>
      <c r="B118" s="1147" t="s">
        <v>2123</v>
      </c>
      <c r="C118" s="1149">
        <v>25944.560000000001</v>
      </c>
      <c r="D118" s="1149">
        <v>912.42</v>
      </c>
      <c r="E118" s="1149">
        <v>26856.98</v>
      </c>
      <c r="F118" s="1147" t="s">
        <v>293</v>
      </c>
      <c r="G118" s="1147" t="s">
        <v>2106</v>
      </c>
      <c r="H118" s="150"/>
      <c r="I118" s="157"/>
      <c r="J118" s="157"/>
      <c r="K118" s="157"/>
      <c r="L118" s="153" t="str">
        <f t="shared" si="5"/>
        <v>1552</v>
      </c>
      <c r="M118" s="154" t="str">
        <f t="shared" si="6"/>
        <v>FPA C.S.S.T.</v>
      </c>
      <c r="N118" s="155">
        <f>+IF(OR($Q118=Parametres!$G$2,$Q118=Parametres!$G$3),I118,C118)</f>
        <v>25944.560000000001</v>
      </c>
      <c r="O118" s="1122">
        <f>+IF(OR($Q118=Parametres!$G$2,$Q118=Parametres!$G$3),J118,D118)</f>
        <v>912.42</v>
      </c>
      <c r="P118" s="155">
        <f>+IF(OR($Q118=Parametres!$G$2,$Q118=Parametres!$G$3),K118,E118)</f>
        <v>26856.98</v>
      </c>
      <c r="Q118" s="154" t="str">
        <f t="shared" si="7"/>
        <v>2-Actifs</v>
      </c>
      <c r="R118" s="153" t="str">
        <f t="shared" si="8"/>
        <v>1500</v>
      </c>
      <c r="S118" s="154">
        <f t="shared" si="9"/>
        <v>0</v>
      </c>
      <c r="T118" s="156" t="str">
        <f>+VLOOKUP($L118,Data_Validation!$A:$D,1,0)</f>
        <v>1552</v>
      </c>
      <c r="U118" s="156" t="str">
        <f>+VLOOKUP($L118,Data_Validation!$A:$D,3,0)</f>
        <v>Bilan</v>
      </c>
      <c r="V118" s="156" t="str">
        <f>+VLOOKUP($L118,Data_Validation!$A:$D,4,0)</f>
        <v>Frais Payés d'Avance</v>
      </c>
      <c r="W118" s="156" t="str">
        <f>+VLOOKUP($L118,Data_Validation!$A:$E,5,0)</f>
        <v>$</v>
      </c>
      <c r="X118" s="156">
        <f>+VLOOKUP($L118,Data_Validation!$A:$F,6,0)</f>
        <v>0</v>
      </c>
    </row>
    <row r="119" spans="1:24" ht="15" hidden="1" customHeight="1">
      <c r="A119" s="1147" t="s">
        <v>2116</v>
      </c>
      <c r="B119" s="1147" t="s">
        <v>2117</v>
      </c>
      <c r="C119" s="1149">
        <v>20921.75</v>
      </c>
      <c r="D119" s="1149">
        <v>-7699.3</v>
      </c>
      <c r="E119" s="1149">
        <v>13222.45</v>
      </c>
      <c r="F119" s="1147" t="s">
        <v>293</v>
      </c>
      <c r="G119" s="1147" t="s">
        <v>2106</v>
      </c>
      <c r="H119" s="948"/>
      <c r="I119" s="947"/>
      <c r="J119" s="947"/>
      <c r="K119" s="947"/>
      <c r="L119" s="153" t="str">
        <f t="shared" si="5"/>
        <v>1582</v>
      </c>
      <c r="M119" s="154" t="str">
        <f t="shared" si="6"/>
        <v>FPA TAXES MUNICIPALES</v>
      </c>
      <c r="N119" s="155">
        <f>+IF(OR($Q119=Parametres!$G$2,$Q119=Parametres!$G$3),I119,C119)</f>
        <v>20921.75</v>
      </c>
      <c r="O119" s="1122">
        <f>+IF(OR($Q119=Parametres!$G$2,$Q119=Parametres!$G$3),J119,D119)</f>
        <v>-7699.3</v>
      </c>
      <c r="P119" s="155">
        <f>+IF(OR($Q119=Parametres!$G$2,$Q119=Parametres!$G$3),K119,E119)</f>
        <v>13222.45</v>
      </c>
      <c r="Q119" s="154" t="str">
        <f t="shared" si="7"/>
        <v>2-Actifs</v>
      </c>
      <c r="R119" s="153" t="str">
        <f t="shared" si="8"/>
        <v>1500</v>
      </c>
      <c r="S119" s="154">
        <f t="shared" si="9"/>
        <v>0</v>
      </c>
      <c r="T119" s="156" t="str">
        <f>+VLOOKUP($L119,Data_Validation!$A:$D,1,0)</f>
        <v>1582</v>
      </c>
      <c r="U119" s="156" t="str">
        <f>+VLOOKUP($L119,Data_Validation!$A:$D,3,0)</f>
        <v>Bilan</v>
      </c>
      <c r="V119" s="156" t="str">
        <f>+VLOOKUP($L119,Data_Validation!$A:$D,4,0)</f>
        <v>Frais Payés d'Avance</v>
      </c>
      <c r="W119" s="156" t="str">
        <f>+VLOOKUP($L119,Data_Validation!$A:$E,5,0)</f>
        <v>$</v>
      </c>
      <c r="X119" s="156">
        <f>+VLOOKUP($L119,Data_Validation!$A:$F,6,0)</f>
        <v>0</v>
      </c>
    </row>
    <row r="120" spans="1:24" ht="15" hidden="1" customHeight="1">
      <c r="A120" s="1147" t="s">
        <v>2177</v>
      </c>
      <c r="B120" s="1147" t="s">
        <v>2178</v>
      </c>
      <c r="C120" s="1149">
        <v>135.80000000000001</v>
      </c>
      <c r="D120" s="1149">
        <v>-310.7</v>
      </c>
      <c r="E120" s="1149">
        <v>-174.9</v>
      </c>
      <c r="F120" s="1147" t="s">
        <v>293</v>
      </c>
      <c r="G120" s="1147" t="s">
        <v>2106</v>
      </c>
      <c r="H120" s="1118"/>
      <c r="I120" s="1119"/>
      <c r="J120" s="1119"/>
      <c r="K120" s="1119"/>
      <c r="L120" s="153" t="str">
        <f t="shared" si="5"/>
        <v>1586</v>
      </c>
      <c r="M120" s="154" t="str">
        <f t="shared" si="6"/>
        <v>FPA TAXES SCOLAIRES</v>
      </c>
      <c r="N120" s="155">
        <f>+IF(OR($Q120=Parametres!$G$2,$Q120=Parametres!$G$3),I120,C120)</f>
        <v>135.80000000000001</v>
      </c>
      <c r="O120" s="1122">
        <f>+IF(OR($Q120=Parametres!$G$2,$Q120=Parametres!$G$3),J120,D120)</f>
        <v>-310.7</v>
      </c>
      <c r="P120" s="155">
        <f>+IF(OR($Q120=Parametres!$G$2,$Q120=Parametres!$G$3),K120,E120)</f>
        <v>-174.9</v>
      </c>
      <c r="Q120" s="154" t="str">
        <f t="shared" si="7"/>
        <v>2-Actifs</v>
      </c>
      <c r="R120" s="153" t="str">
        <f t="shared" si="8"/>
        <v>1500</v>
      </c>
      <c r="S120" s="154">
        <f t="shared" si="9"/>
        <v>0</v>
      </c>
      <c r="T120" s="156" t="str">
        <f>+VLOOKUP($L120,Data_Validation!$A:$D,1,0)</f>
        <v>1586</v>
      </c>
      <c r="U120" s="156" t="str">
        <f>+VLOOKUP($L120,Data_Validation!$A:$D,3,0)</f>
        <v>Bilan</v>
      </c>
      <c r="V120" s="156" t="str">
        <f>+VLOOKUP($L120,Data_Validation!$A:$D,4,0)</f>
        <v>Frais Payés d'Avance</v>
      </c>
      <c r="W120" s="156" t="str">
        <f>+VLOOKUP($L120,Data_Validation!$A:$E,5,0)</f>
        <v>$</v>
      </c>
      <c r="X120" s="156">
        <f>+VLOOKUP($L120,Data_Validation!$A:$F,6,0)</f>
        <v>0</v>
      </c>
    </row>
    <row r="121" spans="1:24" ht="15" hidden="1" customHeight="1">
      <c r="A121" s="1147" t="s">
        <v>2803</v>
      </c>
      <c r="B121" s="1147" t="s">
        <v>2804</v>
      </c>
      <c r="C121" s="1149">
        <v>100409.11</v>
      </c>
      <c r="D121" s="1149">
        <v>-2220.9899999999998</v>
      </c>
      <c r="E121" s="1149">
        <v>98188.12</v>
      </c>
      <c r="F121" s="1147" t="s">
        <v>293</v>
      </c>
      <c r="G121" s="1147" t="s">
        <v>2106</v>
      </c>
      <c r="H121" s="1118"/>
      <c r="I121" s="1118"/>
      <c r="J121" s="1118"/>
      <c r="K121" s="1118"/>
      <c r="L121" s="153" t="str">
        <f t="shared" si="5"/>
        <v>1592</v>
      </c>
      <c r="M121" s="154" t="str">
        <f t="shared" si="6"/>
        <v>FPA AUTRES</v>
      </c>
      <c r="N121" s="155">
        <f>+IF(OR($Q121=Parametres!$G$2,$Q121=Parametres!$G$3),I121,C121)</f>
        <v>100409.11</v>
      </c>
      <c r="O121" s="1120">
        <f>+IF(OR($Q121=Parametres!$G$2,$Q121=Parametres!$G$3),J121,D121)</f>
        <v>-2220.9899999999998</v>
      </c>
      <c r="P121" s="155">
        <f>+IF(OR($Q121=Parametres!$G$2,$Q121=Parametres!$G$3),K121,E121)</f>
        <v>98188.12</v>
      </c>
      <c r="Q121" s="154" t="str">
        <f t="shared" si="7"/>
        <v>2-Actifs</v>
      </c>
      <c r="R121" s="153" t="str">
        <f t="shared" si="8"/>
        <v>1500</v>
      </c>
      <c r="S121" s="154">
        <f t="shared" si="9"/>
        <v>0</v>
      </c>
      <c r="T121" s="156" t="str">
        <f>+VLOOKUP($L121,Data_Validation!$A:$D,1,0)</f>
        <v>1592</v>
      </c>
      <c r="U121" s="156" t="str">
        <f>+VLOOKUP($L121,Data_Validation!$A:$D,3,0)</f>
        <v>Bilan</v>
      </c>
      <c r="V121" s="156" t="str">
        <f>+VLOOKUP($L121,Data_Validation!$A:$D,4,0)</f>
        <v>Frais Payés d'Avance</v>
      </c>
      <c r="W121" s="156" t="str">
        <f>+VLOOKUP($L121,Data_Validation!$A:$E,5,0)</f>
        <v>$</v>
      </c>
      <c r="X121" s="156">
        <f>+VLOOKUP($L121,Data_Validation!$A:$F,6,0)</f>
        <v>0</v>
      </c>
    </row>
    <row r="122" spans="1:24" ht="15" hidden="1" customHeight="1">
      <c r="A122" s="1147" t="s">
        <v>478</v>
      </c>
      <c r="B122" s="1147" t="s">
        <v>2129</v>
      </c>
      <c r="C122" s="1149">
        <v>66.44</v>
      </c>
      <c r="D122" s="1149">
        <v>-66.44</v>
      </c>
      <c r="E122" s="1149">
        <v>0</v>
      </c>
      <c r="F122" s="1147" t="s">
        <v>293</v>
      </c>
      <c r="G122" s="1147" t="s">
        <v>2106</v>
      </c>
      <c r="H122" s="1118"/>
      <c r="I122" s="1119"/>
      <c r="J122" s="1119"/>
      <c r="K122" s="1119"/>
      <c r="L122" s="153" t="str">
        <f t="shared" si="5"/>
        <v>1593</v>
      </c>
      <c r="M122" s="154" t="str">
        <f t="shared" si="6"/>
        <v>FRAIS REPAS ET REPRESENTATION 50%</v>
      </c>
      <c r="N122" s="155">
        <f>+IF(OR($Q122=Parametres!$G$2,$Q122=Parametres!$G$3),I122,C122)</f>
        <v>66.44</v>
      </c>
      <c r="O122" s="1122">
        <f>+IF(OR($Q122=Parametres!$G$2,$Q122=Parametres!$G$3),J122,D122)</f>
        <v>-66.44</v>
      </c>
      <c r="P122" s="155">
        <f>+IF(OR($Q122=Parametres!$G$2,$Q122=Parametres!$G$3),K122,E122)</f>
        <v>0</v>
      </c>
      <c r="Q122" s="154" t="str">
        <f t="shared" si="7"/>
        <v>2-Actifs</v>
      </c>
      <c r="R122" s="153" t="str">
        <f t="shared" si="8"/>
        <v>1500</v>
      </c>
      <c r="S122" s="154">
        <f t="shared" si="9"/>
        <v>0</v>
      </c>
      <c r="T122" s="156" t="str">
        <f>+VLOOKUP($L122,Data_Validation!$A:$D,1,0)</f>
        <v>1593</v>
      </c>
      <c r="U122" s="156" t="str">
        <f>+VLOOKUP($L122,Data_Validation!$A:$D,3,0)</f>
        <v>Bilan</v>
      </c>
      <c r="V122" s="156" t="str">
        <f>+VLOOKUP($L122,Data_Validation!$A:$D,4,0)</f>
        <v>Frais Payés d'Avance</v>
      </c>
      <c r="W122" s="156" t="str">
        <f>+VLOOKUP($L122,Data_Validation!$A:$E,5,0)</f>
        <v>$</v>
      </c>
      <c r="X122" s="156">
        <f>+VLOOKUP($L122,Data_Validation!$A:$F,6,0)</f>
        <v>0</v>
      </c>
    </row>
    <row r="123" spans="1:24" ht="15.75" hidden="1" customHeight="1">
      <c r="A123" s="1147" t="s">
        <v>2400</v>
      </c>
      <c r="B123" s="1147" t="s">
        <v>2401</v>
      </c>
      <c r="C123" s="1149">
        <v>96990.28</v>
      </c>
      <c r="D123" s="1149">
        <v>0</v>
      </c>
      <c r="E123" s="1149">
        <v>96990.28</v>
      </c>
      <c r="F123" s="1147" t="s">
        <v>293</v>
      </c>
      <c r="G123" s="1147" t="s">
        <v>2128</v>
      </c>
      <c r="H123" s="1118"/>
      <c r="I123" s="1118"/>
      <c r="J123" s="1118"/>
      <c r="K123" s="1118"/>
      <c r="L123" s="153" t="str">
        <f t="shared" si="5"/>
        <v>1732</v>
      </c>
      <c r="M123" s="154" t="str">
        <f t="shared" si="6"/>
        <v>AMELIOR. LOCATIVES</v>
      </c>
      <c r="N123" s="155">
        <f>+IF(OR($Q123=Parametres!$G$2,$Q123=Parametres!$G$3),I123,C123)</f>
        <v>96990.28</v>
      </c>
      <c r="O123" s="1120">
        <f>+IF(OR($Q123=Parametres!$G$2,$Q123=Parametres!$G$3),J123,D123)</f>
        <v>0</v>
      </c>
      <c r="P123" s="155">
        <f>+IF(OR($Q123=Parametres!$G$2,$Q123=Parametres!$G$3),K123,E123)</f>
        <v>96990.28</v>
      </c>
      <c r="Q123" s="154" t="str">
        <f t="shared" si="7"/>
        <v>2-Actifs</v>
      </c>
      <c r="R123" s="153" t="str">
        <f t="shared" si="8"/>
        <v>1700</v>
      </c>
      <c r="S123" s="154">
        <f t="shared" si="9"/>
        <v>0</v>
      </c>
      <c r="T123" s="156" t="str">
        <f>+VLOOKUP($L123,Data_Validation!$A:$D,1,0)</f>
        <v>1732</v>
      </c>
      <c r="U123" s="156" t="str">
        <f>+VLOOKUP($L123,Data_Validation!$A:$D,3,0)</f>
        <v>Bilan</v>
      </c>
      <c r="V123" s="156" t="str">
        <f>+VLOOKUP($L123,Data_Validation!$A:$D,4,0)</f>
        <v>Améliorations Locatives</v>
      </c>
      <c r="W123" s="156" t="str">
        <f>+VLOOKUP($L123,Data_Validation!$A:$E,5,0)</f>
        <v>$</v>
      </c>
      <c r="X123" s="156">
        <f>+VLOOKUP($L123,Data_Validation!$A:$F,6,0)</f>
        <v>0</v>
      </c>
    </row>
    <row r="124" spans="1:24" ht="15" hidden="1" customHeight="1">
      <c r="A124" s="1147" t="s">
        <v>2156</v>
      </c>
      <c r="B124" s="1147" t="s">
        <v>2157</v>
      </c>
      <c r="C124" s="1149">
        <v>-95640.97</v>
      </c>
      <c r="D124" s="1149">
        <v>-225</v>
      </c>
      <c r="E124" s="1149">
        <v>-95865.97</v>
      </c>
      <c r="F124" s="1147" t="s">
        <v>293</v>
      </c>
      <c r="G124" s="1147" t="s">
        <v>2128</v>
      </c>
      <c r="H124" s="1118"/>
      <c r="I124" s="1119"/>
      <c r="J124" s="1119"/>
      <c r="K124" s="1119"/>
      <c r="L124" s="153" t="str">
        <f t="shared" si="5"/>
        <v>1733</v>
      </c>
      <c r="M124" s="154" t="str">
        <f t="shared" si="6"/>
        <v>AMORT. CUM. AMEL. LOCAT.</v>
      </c>
      <c r="N124" s="155">
        <f>+IF(OR($Q124=Parametres!$G$2,$Q124=Parametres!$G$3),I124,C124)</f>
        <v>-95640.97</v>
      </c>
      <c r="O124" s="1122">
        <f>+IF(OR($Q124=Parametres!$G$2,$Q124=Parametres!$G$3),J124,D124)</f>
        <v>-225</v>
      </c>
      <c r="P124" s="155">
        <f>+IF(OR($Q124=Parametres!$G$2,$Q124=Parametres!$G$3),K124,E124)</f>
        <v>-95865.97</v>
      </c>
      <c r="Q124" s="154" t="str">
        <f t="shared" si="7"/>
        <v>2-Actifs</v>
      </c>
      <c r="R124" s="153" t="str">
        <f t="shared" si="8"/>
        <v>1700</v>
      </c>
      <c r="S124" s="154">
        <f t="shared" si="9"/>
        <v>0</v>
      </c>
      <c r="T124" s="156" t="str">
        <f>+VLOOKUP($L124,Data_Validation!$A:$D,1,0)</f>
        <v>1733</v>
      </c>
      <c r="U124" s="156" t="str">
        <f>+VLOOKUP($L124,Data_Validation!$A:$D,3,0)</f>
        <v>Bilan</v>
      </c>
      <c r="V124" s="156" t="str">
        <f>+VLOOKUP($L124,Data_Validation!$A:$D,4,0)</f>
        <v>Améliorations Locatives</v>
      </c>
      <c r="W124" s="156" t="str">
        <f>+VLOOKUP($L124,Data_Validation!$A:$E,5,0)</f>
        <v>$</v>
      </c>
      <c r="X124" s="156">
        <f>+VLOOKUP($L124,Data_Validation!$A:$F,6,0)</f>
        <v>0</v>
      </c>
    </row>
    <row r="125" spans="1:24" ht="15" hidden="1" customHeight="1">
      <c r="A125" s="1147" t="s">
        <v>2402</v>
      </c>
      <c r="B125" s="1147" t="s">
        <v>2403</v>
      </c>
      <c r="C125" s="1149">
        <v>942882.53</v>
      </c>
      <c r="D125" s="1149">
        <v>0</v>
      </c>
      <c r="E125" s="1149">
        <v>942882.53</v>
      </c>
      <c r="F125" s="1147" t="s">
        <v>293</v>
      </c>
      <c r="G125" s="1147" t="s">
        <v>2128</v>
      </c>
      <c r="H125" s="1118"/>
      <c r="I125" s="1118"/>
      <c r="J125" s="1118"/>
      <c r="K125" s="1118"/>
      <c r="L125" s="153" t="str">
        <f t="shared" si="5"/>
        <v>1742</v>
      </c>
      <c r="M125" s="154" t="str">
        <f t="shared" si="6"/>
        <v>MACHINERIE &amp; EQUIPEMENT</v>
      </c>
      <c r="N125" s="155">
        <f>+IF(OR($Q125=Parametres!$G$2,$Q125=Parametres!$G$3),I125,C125)</f>
        <v>942882.53</v>
      </c>
      <c r="O125" s="1122">
        <f>+IF(OR($Q125=Parametres!$G$2,$Q125=Parametres!$G$3),J125,D125)</f>
        <v>0</v>
      </c>
      <c r="P125" s="155">
        <f>+IF(OR($Q125=Parametres!$G$2,$Q125=Parametres!$G$3),K125,E125)</f>
        <v>942882.53</v>
      </c>
      <c r="Q125" s="154" t="str">
        <f t="shared" si="7"/>
        <v>2-Actifs</v>
      </c>
      <c r="R125" s="153" t="str">
        <f t="shared" si="8"/>
        <v>1700</v>
      </c>
      <c r="S125" s="154">
        <f t="shared" si="9"/>
        <v>0</v>
      </c>
      <c r="T125" s="156" t="str">
        <f>+VLOOKUP($L125,Data_Validation!$A:$D,1,0)</f>
        <v>1742</v>
      </c>
      <c r="U125" s="156" t="str">
        <f>+VLOOKUP($L125,Data_Validation!$A:$D,3,0)</f>
        <v>Bilan</v>
      </c>
      <c r="V125" s="156" t="str">
        <f>+VLOOKUP($L125,Data_Validation!$A:$D,4,0)</f>
        <v>Équipements Service</v>
      </c>
      <c r="W125" s="156" t="str">
        <f>+VLOOKUP($L125,Data_Validation!$A:$E,5,0)</f>
        <v>$</v>
      </c>
      <c r="X125" s="156">
        <f>+VLOOKUP($L125,Data_Validation!$A:$F,6,0)</f>
        <v>0</v>
      </c>
    </row>
    <row r="126" spans="1:24" ht="15" hidden="1" customHeight="1">
      <c r="A126" s="1147" t="s">
        <v>2126</v>
      </c>
      <c r="B126" s="1147" t="s">
        <v>2127</v>
      </c>
      <c r="C126" s="1149">
        <v>-769414.84</v>
      </c>
      <c r="D126" s="1149">
        <v>-2612</v>
      </c>
      <c r="E126" s="1149">
        <v>-772026.84</v>
      </c>
      <c r="F126" s="1147" t="s">
        <v>293</v>
      </c>
      <c r="G126" s="1147" t="s">
        <v>2128</v>
      </c>
      <c r="H126" s="1118"/>
      <c r="I126" s="1119"/>
      <c r="J126" s="1119"/>
      <c r="K126" s="1119"/>
      <c r="L126" s="153" t="str">
        <f t="shared" si="5"/>
        <v>1743</v>
      </c>
      <c r="M126" s="154" t="str">
        <f t="shared" si="6"/>
        <v>AMORTISS.MACHINERIE &amp; EQUIP.</v>
      </c>
      <c r="N126" s="155">
        <f>+IF(OR($Q126=Parametres!$G$2,$Q126=Parametres!$G$3),I126,C126)</f>
        <v>-769414.84</v>
      </c>
      <c r="O126" s="1122">
        <f>+IF(OR($Q126=Parametres!$G$2,$Q126=Parametres!$G$3),J126,D126)</f>
        <v>-2612</v>
      </c>
      <c r="P126" s="155">
        <f>+IF(OR($Q126=Parametres!$G$2,$Q126=Parametres!$G$3),K126,E126)</f>
        <v>-772026.84</v>
      </c>
      <c r="Q126" s="154" t="str">
        <f t="shared" si="7"/>
        <v>2-Actifs</v>
      </c>
      <c r="R126" s="153" t="str">
        <f t="shared" si="8"/>
        <v>1700</v>
      </c>
      <c r="S126" s="154">
        <f t="shared" si="9"/>
        <v>0</v>
      </c>
      <c r="T126" s="156" t="str">
        <f>+VLOOKUP($L126,Data_Validation!$A:$D,1,0)</f>
        <v>1743</v>
      </c>
      <c r="U126" s="156" t="str">
        <f>+VLOOKUP($L126,Data_Validation!$A:$D,3,0)</f>
        <v>Bilan</v>
      </c>
      <c r="V126" s="156" t="str">
        <f>+VLOOKUP($L126,Data_Validation!$A:$D,4,0)</f>
        <v>Équipements Service</v>
      </c>
      <c r="W126" s="156" t="str">
        <f>+VLOOKUP($L126,Data_Validation!$A:$E,5,0)</f>
        <v>$</v>
      </c>
      <c r="X126" s="156">
        <f>+VLOOKUP($L126,Data_Validation!$A:$F,6,0)</f>
        <v>0</v>
      </c>
    </row>
    <row r="127" spans="1:24" ht="15" hidden="1" customHeight="1">
      <c r="A127" s="1147" t="s">
        <v>2404</v>
      </c>
      <c r="B127" s="1147" t="s">
        <v>2405</v>
      </c>
      <c r="C127" s="1149">
        <v>47461.59</v>
      </c>
      <c r="D127" s="1149">
        <v>0</v>
      </c>
      <c r="E127" s="1149">
        <v>47461.59</v>
      </c>
      <c r="F127" s="1147" t="s">
        <v>293</v>
      </c>
      <c r="G127" s="1147" t="s">
        <v>2128</v>
      </c>
      <c r="H127" s="150"/>
      <c r="I127" s="157"/>
      <c r="J127" s="157"/>
      <c r="K127" s="157"/>
      <c r="L127" s="153" t="str">
        <f t="shared" si="5"/>
        <v>1744</v>
      </c>
      <c r="M127" s="154" t="str">
        <f t="shared" si="6"/>
        <v>EQUIPEMENT PIECES</v>
      </c>
      <c r="N127" s="155">
        <f>+IF(OR($Q127=Parametres!$G$2,$Q127=Parametres!$G$3),I127,C127)</f>
        <v>47461.59</v>
      </c>
      <c r="O127" s="1122">
        <f>+IF(OR($Q127=Parametres!$G$2,$Q127=Parametres!$G$3),J127,D127)</f>
        <v>0</v>
      </c>
      <c r="P127" s="155">
        <f>+IF(OR($Q127=Parametres!$G$2,$Q127=Parametres!$G$3),K127,E127)</f>
        <v>47461.59</v>
      </c>
      <c r="Q127" s="154" t="str">
        <f t="shared" si="7"/>
        <v>2-Actifs</v>
      </c>
      <c r="R127" s="153" t="str">
        <f t="shared" si="8"/>
        <v>1700</v>
      </c>
      <c r="S127" s="154">
        <f t="shared" si="9"/>
        <v>0</v>
      </c>
      <c r="T127" s="156" t="str">
        <f>+VLOOKUP($L127,Data_Validation!$A:$D,1,0)</f>
        <v>1744</v>
      </c>
      <c r="U127" s="156" t="str">
        <f>+VLOOKUP($L127,Data_Validation!$A:$D,3,0)</f>
        <v>Bilan</v>
      </c>
      <c r="V127" s="156" t="str">
        <f>+VLOOKUP($L127,Data_Validation!$A:$D,4,0)</f>
        <v>Équipements Service</v>
      </c>
      <c r="W127" s="156" t="str">
        <f>+VLOOKUP($L127,Data_Validation!$A:$E,5,0)</f>
        <v>$</v>
      </c>
      <c r="X127" s="156">
        <f>+VLOOKUP($L127,Data_Validation!$A:$F,6,0)</f>
        <v>0</v>
      </c>
    </row>
    <row r="128" spans="1:24" ht="15" hidden="1" customHeight="1">
      <c r="A128" s="1147" t="s">
        <v>2197</v>
      </c>
      <c r="B128" s="1147" t="s">
        <v>2198</v>
      </c>
      <c r="C128" s="1149">
        <v>-47349.98</v>
      </c>
      <c r="D128" s="1149">
        <v>-8.5</v>
      </c>
      <c r="E128" s="1149">
        <v>-47358.48</v>
      </c>
      <c r="F128" s="1147" t="s">
        <v>293</v>
      </c>
      <c r="G128" s="1147" t="s">
        <v>2128</v>
      </c>
      <c r="H128" s="948"/>
      <c r="I128" s="947"/>
      <c r="J128" s="947"/>
      <c r="K128" s="947"/>
      <c r="L128" s="153" t="str">
        <f t="shared" si="5"/>
        <v>1745</v>
      </c>
      <c r="M128" s="154" t="str">
        <f t="shared" si="6"/>
        <v>AMORTISS.EQUIPEMENTS PIECES</v>
      </c>
      <c r="N128" s="155">
        <f>+IF(OR($Q128=Parametres!$G$2,$Q128=Parametres!$G$3),I128,C128)</f>
        <v>-47349.98</v>
      </c>
      <c r="O128" s="1122">
        <f>+IF(OR($Q128=Parametres!$G$2,$Q128=Parametres!$G$3),J128,D128)</f>
        <v>-8.5</v>
      </c>
      <c r="P128" s="155">
        <f>+IF(OR($Q128=Parametres!$G$2,$Q128=Parametres!$G$3),K128,E128)</f>
        <v>-47358.48</v>
      </c>
      <c r="Q128" s="154" t="str">
        <f t="shared" si="7"/>
        <v>2-Actifs</v>
      </c>
      <c r="R128" s="153" t="str">
        <f t="shared" si="8"/>
        <v>1700</v>
      </c>
      <c r="S128" s="154">
        <f t="shared" si="9"/>
        <v>0</v>
      </c>
      <c r="T128" s="156" t="str">
        <f>+VLOOKUP($L128,Data_Validation!$A:$D,1,0)</f>
        <v>1745</v>
      </c>
      <c r="U128" s="156" t="str">
        <f>+VLOOKUP($L128,Data_Validation!$A:$D,3,0)</f>
        <v>Bilan</v>
      </c>
      <c r="V128" s="156" t="str">
        <f>+VLOOKUP($L128,Data_Validation!$A:$D,4,0)</f>
        <v>Équipements Service</v>
      </c>
      <c r="W128" s="156" t="str">
        <f>+VLOOKUP($L128,Data_Validation!$A:$E,5,0)</f>
        <v>$</v>
      </c>
      <c r="X128" s="156">
        <f>+VLOOKUP($L128,Data_Validation!$A:$F,6,0)</f>
        <v>0</v>
      </c>
    </row>
    <row r="129" spans="1:24" ht="15" hidden="1" customHeight="1">
      <c r="A129" s="1147" t="s">
        <v>2406</v>
      </c>
      <c r="B129" s="1147" t="s">
        <v>2407</v>
      </c>
      <c r="C129" s="1149">
        <v>155280.23000000001</v>
      </c>
      <c r="D129" s="1149">
        <v>0</v>
      </c>
      <c r="E129" s="1149">
        <v>155280.23000000001</v>
      </c>
      <c r="F129" s="1147" t="s">
        <v>293</v>
      </c>
      <c r="G129" s="1147" t="s">
        <v>2128</v>
      </c>
      <c r="H129" s="150"/>
      <c r="I129" s="157"/>
      <c r="J129" s="157"/>
      <c r="K129" s="157"/>
      <c r="L129" s="153" t="str">
        <f t="shared" si="5"/>
        <v>1760</v>
      </c>
      <c r="M129" s="154" t="str">
        <f t="shared" si="6"/>
        <v>EQUIPEMENT TELEPHONIQUE</v>
      </c>
      <c r="N129" s="155">
        <f>+IF(OR($Q129=Parametres!$G$2,$Q129=Parametres!$G$3),I129,C129)</f>
        <v>155280.23000000001</v>
      </c>
      <c r="O129" s="1122">
        <f>+IF(OR($Q129=Parametres!$G$2,$Q129=Parametres!$G$3),J129,D129)</f>
        <v>0</v>
      </c>
      <c r="P129" s="155">
        <f>+IF(OR($Q129=Parametres!$G$2,$Q129=Parametres!$G$3),K129,E129)</f>
        <v>155280.23000000001</v>
      </c>
      <c r="Q129" s="154" t="str">
        <f t="shared" si="7"/>
        <v>2-Actifs</v>
      </c>
      <c r="R129" s="153" t="str">
        <f t="shared" si="8"/>
        <v>1700</v>
      </c>
      <c r="S129" s="154">
        <f t="shared" si="9"/>
        <v>0</v>
      </c>
      <c r="T129" s="156" t="str">
        <f>+VLOOKUP($L129,Data_Validation!$A:$D,1,0)</f>
        <v>1760</v>
      </c>
      <c r="U129" s="156" t="str">
        <f>+VLOOKUP($L129,Data_Validation!$A:$D,3,0)</f>
        <v>Bilan</v>
      </c>
      <c r="V129" s="156" t="str">
        <f>+VLOOKUP($L129,Data_Validation!$A:$D,4,0)</f>
        <v>Équipements Téléphonique</v>
      </c>
      <c r="W129" s="156" t="str">
        <f>+VLOOKUP($L129,Data_Validation!$A:$E,5,0)</f>
        <v>$</v>
      </c>
      <c r="X129" s="156">
        <f>+VLOOKUP($L129,Data_Validation!$A:$F,6,0)</f>
        <v>0</v>
      </c>
    </row>
    <row r="130" spans="1:24" ht="15" hidden="1" customHeight="1">
      <c r="A130" s="1147" t="s">
        <v>2570</v>
      </c>
      <c r="B130" s="1147" t="s">
        <v>2571</v>
      </c>
      <c r="C130" s="1149">
        <v>-155280.23000000001</v>
      </c>
      <c r="D130" s="1149">
        <v>0</v>
      </c>
      <c r="E130" s="1149">
        <v>-155280.23000000001</v>
      </c>
      <c r="F130" s="1147" t="s">
        <v>293</v>
      </c>
      <c r="G130" s="1147" t="s">
        <v>2128</v>
      </c>
      <c r="H130" s="1118"/>
      <c r="I130" s="1118"/>
      <c r="J130" s="1118"/>
      <c r="K130" s="1118"/>
      <c r="L130" s="153" t="str">
        <f t="shared" ref="L130:L193" si="10">+B130</f>
        <v>1761</v>
      </c>
      <c r="M130" s="154" t="str">
        <f t="shared" ref="M130:M193" si="11">+A130</f>
        <v>AMORTISS.EQUIP.TELEPHONIQUES</v>
      </c>
      <c r="N130" s="155">
        <f>+IF(OR($Q130=Parametres!$G$2,$Q130=Parametres!$G$3),I130,C130)</f>
        <v>-155280.23000000001</v>
      </c>
      <c r="O130" s="1122">
        <f>+IF(OR($Q130=Parametres!$G$2,$Q130=Parametres!$G$3),J130,D130)</f>
        <v>0</v>
      </c>
      <c r="P130" s="155">
        <f>+IF(OR($Q130=Parametres!$G$2,$Q130=Parametres!$G$3),K130,E130)</f>
        <v>-155280.23000000001</v>
      </c>
      <c r="Q130" s="154" t="str">
        <f t="shared" ref="Q130:Q193" si="12">+F130</f>
        <v>2-Actifs</v>
      </c>
      <c r="R130" s="153" t="str">
        <f t="shared" ref="R130:R193" si="13">+G130</f>
        <v>1700</v>
      </c>
      <c r="S130" s="154">
        <f t="shared" ref="S130:S193" si="14">+H130</f>
        <v>0</v>
      </c>
      <c r="T130" s="156" t="str">
        <f>+VLOOKUP($L130,Data_Validation!$A:$D,1,0)</f>
        <v>1761</v>
      </c>
      <c r="U130" s="156" t="str">
        <f>+VLOOKUP($L130,Data_Validation!$A:$D,3,0)</f>
        <v>Bilan</v>
      </c>
      <c r="V130" s="156" t="str">
        <f>+VLOOKUP($L130,Data_Validation!$A:$D,4,0)</f>
        <v>Équipements Téléphonique</v>
      </c>
      <c r="W130" s="156" t="str">
        <f>+VLOOKUP($L130,Data_Validation!$A:$E,5,0)</f>
        <v>$</v>
      </c>
      <c r="X130" s="156">
        <f>+VLOOKUP($L130,Data_Validation!$A:$F,6,0)</f>
        <v>0</v>
      </c>
    </row>
    <row r="131" spans="1:24" ht="15.75" hidden="1" customHeight="1">
      <c r="A131" s="1147" t="s">
        <v>2408</v>
      </c>
      <c r="B131" s="1147" t="s">
        <v>2409</v>
      </c>
      <c r="C131" s="1149">
        <v>433206.49</v>
      </c>
      <c r="D131" s="1149">
        <v>0</v>
      </c>
      <c r="E131" s="1149">
        <v>433206.49</v>
      </c>
      <c r="F131" s="1147" t="s">
        <v>293</v>
      </c>
      <c r="G131" s="1147" t="s">
        <v>2128</v>
      </c>
      <c r="H131" s="1118"/>
      <c r="I131" s="1118"/>
      <c r="J131" s="1118"/>
      <c r="K131" s="1118"/>
      <c r="L131" s="153" t="str">
        <f t="shared" si="10"/>
        <v>1762</v>
      </c>
      <c r="M131" s="154" t="str">
        <f t="shared" si="11"/>
        <v>AMEUBLEMENT &amp; INSTR.</v>
      </c>
      <c r="N131" s="155">
        <f>+IF(OR($Q131=Parametres!$G$2,$Q131=Parametres!$G$3),I131,C131)</f>
        <v>433206.49</v>
      </c>
      <c r="O131" s="1120">
        <f>+IF(OR($Q131=Parametres!$G$2,$Q131=Parametres!$G$3),J131,D131)</f>
        <v>0</v>
      </c>
      <c r="P131" s="155">
        <f>+IF(OR($Q131=Parametres!$G$2,$Q131=Parametres!$G$3),K131,E131)</f>
        <v>433206.49</v>
      </c>
      <c r="Q131" s="154" t="str">
        <f t="shared" si="12"/>
        <v>2-Actifs</v>
      </c>
      <c r="R131" s="153" t="str">
        <f t="shared" si="13"/>
        <v>1700</v>
      </c>
      <c r="S131" s="154">
        <f t="shared" si="14"/>
        <v>0</v>
      </c>
      <c r="T131" s="156" t="str">
        <f>+VLOOKUP($L131,Data_Validation!$A:$D,1,0)</f>
        <v>1762</v>
      </c>
      <c r="U131" s="156" t="str">
        <f>+VLOOKUP($L131,Data_Validation!$A:$D,3,0)</f>
        <v>Bilan</v>
      </c>
      <c r="V131" s="156" t="str">
        <f>+VLOOKUP($L131,Data_Validation!$A:$D,4,0)</f>
        <v>Mobilier</v>
      </c>
      <c r="W131" s="156" t="str">
        <f>+VLOOKUP($L131,Data_Validation!$A:$E,5,0)</f>
        <v>$</v>
      </c>
      <c r="X131" s="156">
        <f>+VLOOKUP($L131,Data_Validation!$A:$F,6,0)</f>
        <v>0</v>
      </c>
    </row>
    <row r="132" spans="1:24" ht="15" hidden="1" customHeight="1">
      <c r="A132" s="1147" t="s">
        <v>2163</v>
      </c>
      <c r="B132" s="1147" t="s">
        <v>2164</v>
      </c>
      <c r="C132" s="1149">
        <v>-399448.54</v>
      </c>
      <c r="D132" s="1149">
        <v>-497</v>
      </c>
      <c r="E132" s="1149">
        <v>-399945.54</v>
      </c>
      <c r="F132" s="1147" t="s">
        <v>293</v>
      </c>
      <c r="G132" s="1147" t="s">
        <v>2128</v>
      </c>
      <c r="H132" s="1118"/>
      <c r="I132" s="1118"/>
      <c r="J132" s="1118"/>
      <c r="K132" s="1118"/>
      <c r="L132" s="153" t="str">
        <f t="shared" si="10"/>
        <v>1763</v>
      </c>
      <c r="M132" s="154" t="str">
        <f t="shared" si="11"/>
        <v>AMORTISS.AMEUBL.INSTR.</v>
      </c>
      <c r="N132" s="155">
        <f>+IF(OR($Q132=Parametres!$G$2,$Q132=Parametres!$G$3),I132,C132)</f>
        <v>-399448.54</v>
      </c>
      <c r="O132" s="1122">
        <f>+IF(OR($Q132=Parametres!$G$2,$Q132=Parametres!$G$3),J132,D132)</f>
        <v>-497</v>
      </c>
      <c r="P132" s="155">
        <f>+IF(OR($Q132=Parametres!$G$2,$Q132=Parametres!$G$3),K132,E132)</f>
        <v>-399945.54</v>
      </c>
      <c r="Q132" s="154" t="str">
        <f t="shared" si="12"/>
        <v>2-Actifs</v>
      </c>
      <c r="R132" s="153" t="str">
        <f t="shared" si="13"/>
        <v>1700</v>
      </c>
      <c r="S132" s="154">
        <f t="shared" si="14"/>
        <v>0</v>
      </c>
      <c r="T132" s="156" t="str">
        <f>+VLOOKUP($L132,Data_Validation!$A:$D,1,0)</f>
        <v>1763</v>
      </c>
      <c r="U132" s="156" t="str">
        <f>+VLOOKUP($L132,Data_Validation!$A:$D,3,0)</f>
        <v>Bilan</v>
      </c>
      <c r="V132" s="156" t="str">
        <f>+VLOOKUP($L132,Data_Validation!$A:$D,4,0)</f>
        <v>Mobilier</v>
      </c>
      <c r="W132" s="156" t="str">
        <f>+VLOOKUP($L132,Data_Validation!$A:$E,5,0)</f>
        <v>$</v>
      </c>
      <c r="X132" s="156">
        <f>+VLOOKUP($L132,Data_Validation!$A:$F,6,0)</f>
        <v>0</v>
      </c>
    </row>
    <row r="133" spans="1:24" ht="15" hidden="1" customHeight="1">
      <c r="A133" s="1147" t="s">
        <v>2410</v>
      </c>
      <c r="B133" s="1147" t="s">
        <v>2411</v>
      </c>
      <c r="C133" s="1149">
        <v>3987.88</v>
      </c>
      <c r="D133" s="1149">
        <v>0</v>
      </c>
      <c r="E133" s="1149">
        <v>3987.88</v>
      </c>
      <c r="F133" s="1147" t="s">
        <v>293</v>
      </c>
      <c r="G133" s="1147" t="s">
        <v>2128</v>
      </c>
      <c r="H133" s="1118"/>
      <c r="I133" s="1119"/>
      <c r="J133" s="1119"/>
      <c r="K133" s="1119"/>
      <c r="L133" s="153" t="str">
        <f t="shared" si="10"/>
        <v>1772</v>
      </c>
      <c r="M133" s="154" t="str">
        <f t="shared" si="11"/>
        <v>VEHICULES DE CIE</v>
      </c>
      <c r="N133" s="155">
        <f>+IF(OR($Q133=Parametres!$G$2,$Q133=Parametres!$G$3),I133,C133)</f>
        <v>3987.88</v>
      </c>
      <c r="O133" s="1122">
        <f>+IF(OR($Q133=Parametres!$G$2,$Q133=Parametres!$G$3),J133,D133)</f>
        <v>0</v>
      </c>
      <c r="P133" s="155">
        <f>+IF(OR($Q133=Parametres!$G$2,$Q133=Parametres!$G$3),K133,E133)</f>
        <v>3987.88</v>
      </c>
      <c r="Q133" s="154" t="str">
        <f t="shared" si="12"/>
        <v>2-Actifs</v>
      </c>
      <c r="R133" s="153" t="str">
        <f t="shared" si="13"/>
        <v>1700</v>
      </c>
      <c r="S133" s="154">
        <f t="shared" si="14"/>
        <v>0</v>
      </c>
      <c r="T133" s="156" t="str">
        <f>+VLOOKUP($L133,Data_Validation!$A:$D,1,0)</f>
        <v>1772</v>
      </c>
      <c r="U133" s="156" t="str">
        <f>+VLOOKUP($L133,Data_Validation!$A:$D,3,0)</f>
        <v>Bilan</v>
      </c>
      <c r="V133" s="156" t="str">
        <f>+VLOOKUP($L133,Data_Validation!$A:$D,4,0)</f>
        <v>Équipements Service</v>
      </c>
      <c r="W133" s="156" t="str">
        <f>+VLOOKUP($L133,Data_Validation!$A:$E,5,0)</f>
        <v>$</v>
      </c>
      <c r="X133" s="156">
        <f>+VLOOKUP($L133,Data_Validation!$A:$F,6,0)</f>
        <v>0</v>
      </c>
    </row>
    <row r="134" spans="1:24" ht="15" hidden="1" customHeight="1">
      <c r="A134" s="1147" t="s">
        <v>2412</v>
      </c>
      <c r="B134" s="1147" t="s">
        <v>2413</v>
      </c>
      <c r="C134" s="1149">
        <v>-3987.88</v>
      </c>
      <c r="D134" s="1149">
        <v>0</v>
      </c>
      <c r="E134" s="1149">
        <v>-3987.88</v>
      </c>
      <c r="F134" s="1147" t="s">
        <v>293</v>
      </c>
      <c r="G134" s="1147" t="s">
        <v>2128</v>
      </c>
      <c r="H134" s="150"/>
      <c r="I134" s="151"/>
      <c r="J134" s="151"/>
      <c r="K134" s="151"/>
      <c r="L134" s="153" t="str">
        <f t="shared" si="10"/>
        <v>1773</v>
      </c>
      <c r="M134" s="154" t="str">
        <f t="shared" si="11"/>
        <v>DEPRECIATION &amp; AMORT.</v>
      </c>
      <c r="N134" s="155">
        <f>+IF(OR($Q134=Parametres!$G$2,$Q134=Parametres!$G$3),I134,C134)</f>
        <v>-3987.88</v>
      </c>
      <c r="O134" s="1122">
        <f>+IF(OR($Q134=Parametres!$G$2,$Q134=Parametres!$G$3),J134,D134)</f>
        <v>0</v>
      </c>
      <c r="P134" s="155">
        <f>+IF(OR($Q134=Parametres!$G$2,$Q134=Parametres!$G$3),K134,E134)</f>
        <v>-3987.88</v>
      </c>
      <c r="Q134" s="154" t="str">
        <f t="shared" si="12"/>
        <v>2-Actifs</v>
      </c>
      <c r="R134" s="153" t="str">
        <f t="shared" si="13"/>
        <v>1700</v>
      </c>
      <c r="S134" s="154">
        <f t="shared" si="14"/>
        <v>0</v>
      </c>
      <c r="T134" s="156" t="str">
        <f>+VLOOKUP($L134,Data_Validation!$A:$D,1,0)</f>
        <v>1773</v>
      </c>
      <c r="U134" s="156" t="str">
        <f>+VLOOKUP($L134,Data_Validation!$A:$D,3,0)</f>
        <v>Bilan</v>
      </c>
      <c r="V134" s="156" t="str">
        <f>+VLOOKUP($L134,Data_Validation!$A:$D,4,0)</f>
        <v>Équipements Service</v>
      </c>
      <c r="W134" s="156" t="str">
        <f>+VLOOKUP($L134,Data_Validation!$A:$E,5,0)</f>
        <v>$</v>
      </c>
      <c r="X134" s="156">
        <f>+VLOOKUP($L134,Data_Validation!$A:$F,6,0)</f>
        <v>0</v>
      </c>
    </row>
    <row r="135" spans="1:24" ht="15.75" hidden="1" customHeight="1">
      <c r="A135" s="1147" t="s">
        <v>2568</v>
      </c>
      <c r="B135" s="1147" t="s">
        <v>2569</v>
      </c>
      <c r="C135" s="1149">
        <v>271520.27</v>
      </c>
      <c r="D135" s="1149">
        <v>1323.45</v>
      </c>
      <c r="E135" s="1149">
        <v>272843.71999999997</v>
      </c>
      <c r="F135" s="1147" t="s">
        <v>293</v>
      </c>
      <c r="G135" s="1147" t="s">
        <v>2128</v>
      </c>
      <c r="H135" s="948"/>
      <c r="I135" s="947"/>
      <c r="J135" s="947"/>
      <c r="K135" s="947"/>
      <c r="L135" s="153" t="str">
        <f t="shared" si="10"/>
        <v>1786</v>
      </c>
      <c r="M135" s="154" t="str">
        <f t="shared" si="11"/>
        <v>EQUIPEMENT INFORMATIQUE</v>
      </c>
      <c r="N135" s="155">
        <f>+IF(OR($Q135=Parametres!$G$2,$Q135=Parametres!$G$3),I135,C135)</f>
        <v>271520.27</v>
      </c>
      <c r="O135" s="1122">
        <f>+IF(OR($Q135=Parametres!$G$2,$Q135=Parametres!$G$3),J135,D135)</f>
        <v>1323.45</v>
      </c>
      <c r="P135" s="155">
        <f>+IF(OR($Q135=Parametres!$G$2,$Q135=Parametres!$G$3),K135,E135)</f>
        <v>272843.71999999997</v>
      </c>
      <c r="Q135" s="154" t="str">
        <f t="shared" si="12"/>
        <v>2-Actifs</v>
      </c>
      <c r="R135" s="153" t="str">
        <f t="shared" si="13"/>
        <v>1700</v>
      </c>
      <c r="S135" s="154">
        <f t="shared" si="14"/>
        <v>0</v>
      </c>
      <c r="T135" s="156" t="str">
        <f>+VLOOKUP($L135,Data_Validation!$A:$D,1,0)</f>
        <v>1786</v>
      </c>
      <c r="U135" s="156" t="str">
        <f>+VLOOKUP($L135,Data_Validation!$A:$D,3,0)</f>
        <v>Bilan</v>
      </c>
      <c r="V135" s="156" t="str">
        <f>+VLOOKUP($L135,Data_Validation!$A:$D,4,0)</f>
        <v>Équipements Informatique</v>
      </c>
      <c r="W135" s="156" t="str">
        <f>+VLOOKUP($L135,Data_Validation!$A:$E,5,0)</f>
        <v>$</v>
      </c>
      <c r="X135" s="156">
        <f>+VLOOKUP($L135,Data_Validation!$A:$F,6,0)</f>
        <v>0</v>
      </c>
    </row>
    <row r="136" spans="1:24" ht="15" hidden="1" customHeight="1">
      <c r="A136" s="1147" t="s">
        <v>2154</v>
      </c>
      <c r="B136" s="1147" t="s">
        <v>2155</v>
      </c>
      <c r="C136" s="1149">
        <v>-250681.65</v>
      </c>
      <c r="D136" s="1149">
        <v>-972</v>
      </c>
      <c r="E136" s="1149">
        <v>-251653.65</v>
      </c>
      <c r="F136" s="1147" t="s">
        <v>293</v>
      </c>
      <c r="G136" s="1147" t="s">
        <v>2128</v>
      </c>
      <c r="H136" s="150"/>
      <c r="I136" s="157"/>
      <c r="J136" s="157"/>
      <c r="K136" s="157"/>
      <c r="L136" s="153" t="str">
        <f t="shared" si="10"/>
        <v>1787</v>
      </c>
      <c r="M136" s="154" t="str">
        <f t="shared" si="11"/>
        <v>AMORTISS.EQUIP.INFORMATIQUES</v>
      </c>
      <c r="N136" s="155">
        <f>+IF(OR($Q136=Parametres!$G$2,$Q136=Parametres!$G$3),I136,C136)</f>
        <v>-250681.65</v>
      </c>
      <c r="O136" s="1122">
        <f>+IF(OR($Q136=Parametres!$G$2,$Q136=Parametres!$G$3),J136,D136)</f>
        <v>-972</v>
      </c>
      <c r="P136" s="155">
        <f>+IF(OR($Q136=Parametres!$G$2,$Q136=Parametres!$G$3),K136,E136)</f>
        <v>-251653.65</v>
      </c>
      <c r="Q136" s="154" t="str">
        <f t="shared" si="12"/>
        <v>2-Actifs</v>
      </c>
      <c r="R136" s="153" t="str">
        <f t="shared" si="13"/>
        <v>1700</v>
      </c>
      <c r="S136" s="154">
        <f t="shared" si="14"/>
        <v>0</v>
      </c>
      <c r="T136" s="156" t="str">
        <f>+VLOOKUP($L136,Data_Validation!$A:$D,1,0)</f>
        <v>1787</v>
      </c>
      <c r="U136" s="156" t="str">
        <f>+VLOOKUP($L136,Data_Validation!$A:$D,3,0)</f>
        <v>Bilan</v>
      </c>
      <c r="V136" s="156" t="str">
        <f>+VLOOKUP($L136,Data_Validation!$A:$D,4,0)</f>
        <v>Équipements Informatique</v>
      </c>
      <c r="W136" s="156" t="str">
        <f>+VLOOKUP($L136,Data_Validation!$A:$E,5,0)</f>
        <v>$</v>
      </c>
      <c r="X136" s="156">
        <f>+VLOOKUP($L136,Data_Validation!$A:$F,6,0)</f>
        <v>0</v>
      </c>
    </row>
    <row r="137" spans="1:24" ht="15" hidden="1" customHeight="1">
      <c r="A137" s="1147" t="s">
        <v>822</v>
      </c>
      <c r="B137" s="1147" t="s">
        <v>2414</v>
      </c>
      <c r="C137" s="1149">
        <v>119393.66</v>
      </c>
      <c r="D137" s="1149">
        <v>0</v>
      </c>
      <c r="E137" s="1149">
        <v>119393.66</v>
      </c>
      <c r="F137" s="1147" t="s">
        <v>293</v>
      </c>
      <c r="G137" s="1147" t="s">
        <v>2128</v>
      </c>
      <c r="H137" s="150"/>
      <c r="I137" s="151"/>
      <c r="J137" s="151"/>
      <c r="K137" s="151"/>
      <c r="L137" s="153" t="str">
        <f t="shared" si="10"/>
        <v>1792</v>
      </c>
      <c r="M137" s="154" t="str">
        <f t="shared" si="11"/>
        <v>ENSEIGNES</v>
      </c>
      <c r="N137" s="155">
        <f>+IF(OR($Q137=Parametres!$G$2,$Q137=Parametres!$G$3),I137,C137)</f>
        <v>119393.66</v>
      </c>
      <c r="O137" s="1122">
        <f>+IF(OR($Q137=Parametres!$G$2,$Q137=Parametres!$G$3),J137,D137)</f>
        <v>0</v>
      </c>
      <c r="P137" s="155">
        <f>+IF(OR($Q137=Parametres!$G$2,$Q137=Parametres!$G$3),K137,E137)</f>
        <v>119393.66</v>
      </c>
      <c r="Q137" s="154" t="str">
        <f t="shared" si="12"/>
        <v>2-Actifs</v>
      </c>
      <c r="R137" s="153" t="str">
        <f t="shared" si="13"/>
        <v>1700</v>
      </c>
      <c r="S137" s="154">
        <f t="shared" si="14"/>
        <v>0</v>
      </c>
      <c r="T137" s="156" t="str">
        <f>+VLOOKUP($L137,Data_Validation!$A:$D,1,0)</f>
        <v>1792</v>
      </c>
      <c r="U137" s="156" t="str">
        <f>+VLOOKUP($L137,Data_Validation!$A:$D,3,0)</f>
        <v>Bilan</v>
      </c>
      <c r="V137" s="156" t="str">
        <f>+VLOOKUP($L137,Data_Validation!$A:$D,4,0)</f>
        <v>Enseigne</v>
      </c>
      <c r="W137" s="156" t="str">
        <f>+VLOOKUP($L137,Data_Validation!$A:$E,5,0)</f>
        <v>$</v>
      </c>
      <c r="X137" s="156">
        <f>+VLOOKUP($L137,Data_Validation!$A:$F,6,0)</f>
        <v>0</v>
      </c>
    </row>
    <row r="138" spans="1:24" ht="15" hidden="1" customHeight="1">
      <c r="A138" s="1147" t="s">
        <v>2195</v>
      </c>
      <c r="B138" s="1147" t="s">
        <v>2196</v>
      </c>
      <c r="C138" s="1149">
        <v>-119393.65</v>
      </c>
      <c r="D138" s="1149">
        <v>0</v>
      </c>
      <c r="E138" s="1149">
        <v>-119393.65</v>
      </c>
      <c r="F138" s="1147" t="s">
        <v>293</v>
      </c>
      <c r="G138" s="1147" t="s">
        <v>2128</v>
      </c>
      <c r="H138" s="150"/>
      <c r="I138" s="151"/>
      <c r="J138" s="151"/>
      <c r="K138" s="151"/>
      <c r="L138" s="153" t="str">
        <f t="shared" si="10"/>
        <v>1793</v>
      </c>
      <c r="M138" s="154" t="str">
        <f t="shared" si="11"/>
        <v>AMORT. CUM. ENSEIGNES</v>
      </c>
      <c r="N138" s="155">
        <f>+IF(OR($Q138=Parametres!$G$2,$Q138=Parametres!$G$3),I138,C138)</f>
        <v>-119393.65</v>
      </c>
      <c r="O138" s="1122">
        <f>+IF(OR($Q138=Parametres!$G$2,$Q138=Parametres!$G$3),J138,D138)</f>
        <v>0</v>
      </c>
      <c r="P138" s="155">
        <f>+IF(OR($Q138=Parametres!$G$2,$Q138=Parametres!$G$3),K138,E138)</f>
        <v>-119393.65</v>
      </c>
      <c r="Q138" s="154" t="str">
        <f t="shared" si="12"/>
        <v>2-Actifs</v>
      </c>
      <c r="R138" s="153" t="str">
        <f t="shared" si="13"/>
        <v>1700</v>
      </c>
      <c r="S138" s="154">
        <f t="shared" si="14"/>
        <v>0</v>
      </c>
      <c r="T138" s="156" t="str">
        <f>+VLOOKUP($L138,Data_Validation!$A:$D,1,0)</f>
        <v>1793</v>
      </c>
      <c r="U138" s="156" t="str">
        <f>+VLOOKUP($L138,Data_Validation!$A:$D,3,0)</f>
        <v>Bilan</v>
      </c>
      <c r="V138" s="156" t="str">
        <f>+VLOOKUP($L138,Data_Validation!$A:$D,4,0)</f>
        <v>Enseigne</v>
      </c>
      <c r="W138" s="156" t="str">
        <f>+VLOOKUP($L138,Data_Validation!$A:$E,5,0)</f>
        <v>$</v>
      </c>
      <c r="X138" s="156">
        <f>+VLOOKUP($L138,Data_Validation!$A:$F,6,0)</f>
        <v>0</v>
      </c>
    </row>
    <row r="139" spans="1:24" ht="15.75" hidden="1" customHeight="1">
      <c r="A139" s="1147" t="s">
        <v>2415</v>
      </c>
      <c r="B139" s="1147" t="s">
        <v>2416</v>
      </c>
      <c r="C139" s="1149">
        <v>1623600</v>
      </c>
      <c r="D139" s="1149">
        <v>0</v>
      </c>
      <c r="E139" s="1149">
        <v>1623600</v>
      </c>
      <c r="F139" s="1147" t="s">
        <v>293</v>
      </c>
      <c r="G139" s="1147" t="s">
        <v>2416</v>
      </c>
      <c r="H139" s="150"/>
      <c r="I139" s="151"/>
      <c r="J139" s="151"/>
      <c r="K139" s="151"/>
      <c r="L139" s="153" t="str">
        <f t="shared" si="10"/>
        <v>1804</v>
      </c>
      <c r="M139" s="154" t="str">
        <f t="shared" si="11"/>
        <v>RECEVABLE-PROP. &amp; EMPL.</v>
      </c>
      <c r="N139" s="155">
        <f>+IF(OR($Q139=Parametres!$G$2,$Q139=Parametres!$G$3),I139,C139)</f>
        <v>1623600</v>
      </c>
      <c r="O139" s="1122">
        <f>+IF(OR($Q139=Parametres!$G$2,$Q139=Parametres!$G$3),J139,D139)</f>
        <v>0</v>
      </c>
      <c r="P139" s="155">
        <f>+IF(OR($Q139=Parametres!$G$2,$Q139=Parametres!$G$3),K139,E139)</f>
        <v>1623600</v>
      </c>
      <c r="Q139" s="154" t="str">
        <f t="shared" si="12"/>
        <v>2-Actifs</v>
      </c>
      <c r="R139" s="153" t="str">
        <f t="shared" si="13"/>
        <v>1804</v>
      </c>
      <c r="S139" s="154">
        <f t="shared" si="14"/>
        <v>0</v>
      </c>
      <c r="T139" s="156" t="str">
        <f>+VLOOKUP($L139,Data_Validation!$A:$D,1,0)</f>
        <v>1804</v>
      </c>
      <c r="U139" s="156" t="str">
        <f>+VLOOKUP($L139,Data_Validation!$A:$D,3,0)</f>
        <v>Bilan</v>
      </c>
      <c r="V139" s="156" t="str">
        <f>+VLOOKUP($L139,Data_Validation!$A:$D,4,0)</f>
        <v>Avances à Recevoir Long Terme</v>
      </c>
      <c r="W139" s="156" t="str">
        <f>+VLOOKUP($L139,Data_Validation!$A:$E,5,0)</f>
        <v>$</v>
      </c>
      <c r="X139" s="156">
        <f>+VLOOKUP($L139,Data_Validation!$A:$F,6,0)</f>
        <v>0</v>
      </c>
    </row>
    <row r="140" spans="1:24" ht="15" hidden="1" customHeight="1">
      <c r="A140" s="1147" t="s">
        <v>2752</v>
      </c>
      <c r="B140" s="1147" t="s">
        <v>2753</v>
      </c>
      <c r="C140" s="1149">
        <v>15278.71</v>
      </c>
      <c r="D140" s="1149">
        <v>-3969.53</v>
      </c>
      <c r="E140" s="1149">
        <v>11309.18</v>
      </c>
      <c r="F140" s="1147" t="s">
        <v>293</v>
      </c>
      <c r="G140" s="1147" t="s">
        <v>2623</v>
      </c>
      <c r="H140" s="948"/>
      <c r="I140" s="947"/>
      <c r="J140" s="947"/>
      <c r="K140" s="947"/>
      <c r="L140" s="153" t="str">
        <f t="shared" si="10"/>
        <v>1806</v>
      </c>
      <c r="M140" s="154" t="str">
        <f t="shared" si="11"/>
        <v>FINANCEMENT RECEVABLE</v>
      </c>
      <c r="N140" s="155">
        <f>+IF(OR($Q140=Parametres!$G$2,$Q140=Parametres!$G$3),I140,C140)</f>
        <v>15278.71</v>
      </c>
      <c r="O140" s="1122">
        <f>+IF(OR($Q140=Parametres!$G$2,$Q140=Parametres!$G$3),J140,D140)</f>
        <v>-3969.53</v>
      </c>
      <c r="P140" s="155">
        <f>+IF(OR($Q140=Parametres!$G$2,$Q140=Parametres!$G$3),K140,E140)</f>
        <v>11309.18</v>
      </c>
      <c r="Q140" s="154" t="str">
        <f t="shared" si="12"/>
        <v>2-Actifs</v>
      </c>
      <c r="R140" s="153" t="str">
        <f t="shared" si="13"/>
        <v>1382</v>
      </c>
      <c r="S140" s="154">
        <f t="shared" si="14"/>
        <v>0</v>
      </c>
      <c r="T140" s="156" t="str">
        <f>+VLOOKUP($L140,Data_Validation!$A:$D,1,0)</f>
        <v>1806</v>
      </c>
      <c r="U140" s="156" t="str">
        <f>+VLOOKUP($L140,Data_Validation!$A:$D,3,0)</f>
        <v>Bilan</v>
      </c>
      <c r="V140" s="156" t="str">
        <f>+VLOOKUP($L140,Data_Validation!$A:$D,4,0)</f>
        <v>Recevables Autres</v>
      </c>
      <c r="W140" s="156" t="str">
        <f>+VLOOKUP($L140,Data_Validation!$A:$E,5,0)</f>
        <v>$</v>
      </c>
      <c r="X140" s="156">
        <f>+VLOOKUP($L140,Data_Validation!$A:$F,6,0)</f>
        <v>0</v>
      </c>
    </row>
    <row r="141" spans="1:24" ht="15" hidden="1" customHeight="1">
      <c r="A141" s="1147" t="s">
        <v>2846</v>
      </c>
      <c r="B141" s="1147" t="s">
        <v>2847</v>
      </c>
      <c r="C141" s="1149">
        <v>-5602346.5899999999</v>
      </c>
      <c r="D141" s="1149">
        <v>670418.36</v>
      </c>
      <c r="E141" s="1149">
        <v>-4931928.2300000004</v>
      </c>
      <c r="F141" s="1147" t="s">
        <v>282</v>
      </c>
      <c r="G141" s="1147" t="s">
        <v>2847</v>
      </c>
      <c r="H141" s="150"/>
      <c r="I141" s="151"/>
      <c r="J141" s="151"/>
      <c r="K141" s="151"/>
      <c r="L141" s="153" t="str">
        <f t="shared" si="10"/>
        <v>2101</v>
      </c>
      <c r="M141" s="154" t="str">
        <f t="shared" si="11"/>
        <v>NOTE A PAYER VEH. NEUFS VOLKS</v>
      </c>
      <c r="N141" s="155">
        <f>+IF(OR($Q141=Parametres!$G$2,$Q141=Parametres!$G$3),I141,C141)</f>
        <v>-5602346.5899999999</v>
      </c>
      <c r="O141" s="1122">
        <f>+IF(OR($Q141=Parametres!$G$2,$Q141=Parametres!$G$3),J141,D141)</f>
        <v>670418.36</v>
      </c>
      <c r="P141" s="155">
        <f>+IF(OR($Q141=Parametres!$G$2,$Q141=Parametres!$G$3),K141,E141)</f>
        <v>-4931928.2300000004</v>
      </c>
      <c r="Q141" s="154" t="str">
        <f t="shared" si="12"/>
        <v>3-Passifs</v>
      </c>
      <c r="R141" s="153" t="str">
        <f t="shared" si="13"/>
        <v>2101</v>
      </c>
      <c r="S141" s="154">
        <f t="shared" si="14"/>
        <v>0</v>
      </c>
      <c r="T141" s="156" t="str">
        <f>+VLOOKUP($L141,Data_Validation!$A:$D,1,0)</f>
        <v>2101</v>
      </c>
      <c r="U141" s="156" t="str">
        <f>+VLOOKUP($L141,Data_Validation!$A:$D,3,0)</f>
        <v>Bilan</v>
      </c>
      <c r="V141" s="156" t="str">
        <f>+VLOOKUP($L141,Data_Validation!$A:$D,4,0)</f>
        <v>Effet à Payer Véhicules Neufs</v>
      </c>
      <c r="W141" s="156" t="str">
        <f>+VLOOKUP($L141,Data_Validation!$A:$E,5,0)</f>
        <v>$</v>
      </c>
      <c r="X141" s="156">
        <f>+VLOOKUP($L141,Data_Validation!$A:$F,6,0)</f>
        <v>0</v>
      </c>
    </row>
    <row r="142" spans="1:24" ht="15" hidden="1" customHeight="1">
      <c r="A142" s="1147" t="s">
        <v>2036</v>
      </c>
      <c r="B142" s="1147" t="s">
        <v>2037</v>
      </c>
      <c r="C142" s="1149">
        <v>-456343.8</v>
      </c>
      <c r="D142" s="1149">
        <v>228209.83</v>
      </c>
      <c r="E142" s="1149">
        <v>-228133.97</v>
      </c>
      <c r="F142" s="1147" t="s">
        <v>282</v>
      </c>
      <c r="G142" s="1147" t="s">
        <v>2037</v>
      </c>
      <c r="H142" s="150"/>
      <c r="I142" s="151"/>
      <c r="J142" s="151"/>
      <c r="K142" s="151"/>
      <c r="L142" s="153" t="str">
        <f t="shared" si="10"/>
        <v>2103</v>
      </c>
      <c r="M142" s="154" t="str">
        <f t="shared" si="11"/>
        <v>NOTE PAYABLE-FIN. VEH. USAG.</v>
      </c>
      <c r="N142" s="155">
        <f>+IF(OR($Q142=Parametres!$G$2,$Q142=Parametres!$G$3),I142,C142)</f>
        <v>-456343.8</v>
      </c>
      <c r="O142" s="1122">
        <f>+IF(OR($Q142=Parametres!$G$2,$Q142=Parametres!$G$3),J142,D142)</f>
        <v>228209.83</v>
      </c>
      <c r="P142" s="155">
        <f>+IF(OR($Q142=Parametres!$G$2,$Q142=Parametres!$G$3),K142,E142)</f>
        <v>-228133.97</v>
      </c>
      <c r="Q142" s="154" t="str">
        <f t="shared" si="12"/>
        <v>3-Passifs</v>
      </c>
      <c r="R142" s="153" t="str">
        <f t="shared" si="13"/>
        <v>2103</v>
      </c>
      <c r="S142" s="154">
        <f t="shared" si="14"/>
        <v>0</v>
      </c>
      <c r="T142" s="156" t="str">
        <f>+VLOOKUP($L142,Data_Validation!$A:$D,1,0)</f>
        <v>2103</v>
      </c>
      <c r="U142" s="156" t="str">
        <f>+VLOOKUP($L142,Data_Validation!$A:$D,3,0)</f>
        <v>Bilan</v>
      </c>
      <c r="V142" s="156" t="str">
        <f>+VLOOKUP($L142,Data_Validation!$A:$D,4,0)</f>
        <v>Effet à Payer Véhicules Usagés</v>
      </c>
      <c r="W142" s="156" t="str">
        <f>+VLOOKUP($L142,Data_Validation!$A:$E,5,0)</f>
        <v>$</v>
      </c>
      <c r="X142" s="156">
        <f>+VLOOKUP($L142,Data_Validation!$A:$F,6,0)</f>
        <v>0</v>
      </c>
    </row>
    <row r="143" spans="1:24" ht="15.75" hidden="1" customHeight="1">
      <c r="A143" s="1147" t="s">
        <v>2417</v>
      </c>
      <c r="B143" s="1147" t="s">
        <v>2418</v>
      </c>
      <c r="C143" s="1149">
        <v>-15810</v>
      </c>
      <c r="D143" s="1149">
        <v>0</v>
      </c>
      <c r="E143" s="1149">
        <v>-15810</v>
      </c>
      <c r="F143" s="1147" t="s">
        <v>282</v>
      </c>
      <c r="G143" s="1147" t="s">
        <v>2418</v>
      </c>
      <c r="H143" s="150"/>
      <c r="I143" s="157"/>
      <c r="J143" s="157"/>
      <c r="K143" s="157"/>
      <c r="L143" s="153" t="str">
        <f t="shared" si="10"/>
        <v>2131</v>
      </c>
      <c r="M143" s="154" t="str">
        <f t="shared" si="11"/>
        <v>PORTION COURANTE PRET</v>
      </c>
      <c r="N143" s="155">
        <f>+IF(OR($Q143=Parametres!$G$2,$Q143=Parametres!$G$3),I143,C143)</f>
        <v>-15810</v>
      </c>
      <c r="O143" s="1122">
        <f>+IF(OR($Q143=Parametres!$G$2,$Q143=Parametres!$G$3),J143,D143)</f>
        <v>0</v>
      </c>
      <c r="P143" s="155">
        <f>+IF(OR($Q143=Parametres!$G$2,$Q143=Parametres!$G$3),K143,E143)</f>
        <v>-15810</v>
      </c>
      <c r="Q143" s="154" t="str">
        <f t="shared" si="12"/>
        <v>3-Passifs</v>
      </c>
      <c r="R143" s="153" t="str">
        <f t="shared" si="13"/>
        <v>2131</v>
      </c>
      <c r="S143" s="154">
        <f t="shared" si="14"/>
        <v>0</v>
      </c>
      <c r="T143" s="156" t="str">
        <f>+VLOOKUP($L143,Data_Validation!$A:$D,1,0)</f>
        <v>2131</v>
      </c>
      <c r="U143" s="156" t="str">
        <f>+VLOOKUP($L143,Data_Validation!$A:$D,3,0)</f>
        <v>Bilan</v>
      </c>
      <c r="V143" s="156" t="str">
        <f>+VLOOKUP($L143,Data_Validation!$A:$D,4,0)</f>
        <v>Portion Court Terme de la Dette Long Terme</v>
      </c>
      <c r="W143" s="156" t="str">
        <f>+VLOOKUP($L143,Data_Validation!$A:$E,5,0)</f>
        <v>$</v>
      </c>
      <c r="X143" s="156">
        <f>+VLOOKUP($L143,Data_Validation!$A:$F,6,0)</f>
        <v>0</v>
      </c>
    </row>
    <row r="144" spans="1:24" ht="15" hidden="1" customHeight="1">
      <c r="A144" s="1147" t="s">
        <v>2203</v>
      </c>
      <c r="B144" s="1147" t="s">
        <v>2204</v>
      </c>
      <c r="C144" s="1149">
        <v>-296.47000000000003</v>
      </c>
      <c r="D144" s="1149">
        <v>-674.53</v>
      </c>
      <c r="E144" s="1149">
        <v>-971</v>
      </c>
      <c r="F144" s="1147" t="s">
        <v>282</v>
      </c>
      <c r="G144" s="1147" t="s">
        <v>2204</v>
      </c>
      <c r="H144" s="150"/>
      <c r="I144" s="157"/>
      <c r="J144" s="157"/>
      <c r="K144" s="157"/>
      <c r="L144" s="153" t="str">
        <f t="shared" si="10"/>
        <v>2220</v>
      </c>
      <c r="M144" s="154" t="str">
        <f t="shared" si="11"/>
        <v>TPA A PAYER</v>
      </c>
      <c r="N144" s="155">
        <f>+IF(OR($Q144=Parametres!$G$2,$Q144=Parametres!$G$3),I144,C144)</f>
        <v>-296.47000000000003</v>
      </c>
      <c r="O144" s="1122">
        <f>+IF(OR($Q144=Parametres!$G$2,$Q144=Parametres!$G$3),J144,D144)</f>
        <v>-674.53</v>
      </c>
      <c r="P144" s="155">
        <f>+IF(OR($Q144=Parametres!$G$2,$Q144=Parametres!$G$3),K144,E144)</f>
        <v>-971</v>
      </c>
      <c r="Q144" s="154" t="str">
        <f t="shared" si="12"/>
        <v>3-Passifs</v>
      </c>
      <c r="R144" s="153" t="str">
        <f t="shared" si="13"/>
        <v>2220</v>
      </c>
      <c r="S144" s="154">
        <f t="shared" si="14"/>
        <v>0</v>
      </c>
      <c r="T144" s="156" t="str">
        <f>+VLOOKUP($L144,Data_Validation!$A:$D,1,0)</f>
        <v>2220</v>
      </c>
      <c r="U144" s="156" t="str">
        <f>+VLOOKUP($L144,Data_Validation!$A:$D,3,0)</f>
        <v>Bilan</v>
      </c>
      <c r="V144" s="156" t="str">
        <f>+VLOOKUP($L144,Data_Validation!$A:$D,4,0)</f>
        <v>Taxes de Vente à Payer</v>
      </c>
      <c r="W144" s="156" t="str">
        <f>+VLOOKUP($L144,Data_Validation!$A:$E,5,0)</f>
        <v>$</v>
      </c>
      <c r="X144" s="156">
        <f>+VLOOKUP($L144,Data_Validation!$A:$F,6,0)</f>
        <v>0</v>
      </c>
    </row>
    <row r="145" spans="1:24" ht="15" hidden="1" customHeight="1">
      <c r="A145" s="1147" t="s">
        <v>2056</v>
      </c>
      <c r="B145" s="1147" t="s">
        <v>2057</v>
      </c>
      <c r="C145" s="1149">
        <v>-80047.95</v>
      </c>
      <c r="D145" s="1149">
        <v>-1958.2</v>
      </c>
      <c r="E145" s="1149">
        <v>-82006.149999999994</v>
      </c>
      <c r="F145" s="1147" t="s">
        <v>282</v>
      </c>
      <c r="G145" s="1147" t="s">
        <v>2057</v>
      </c>
      <c r="H145" s="1013"/>
      <c r="I145" s="1014"/>
      <c r="J145" s="1014"/>
      <c r="K145" s="1014"/>
      <c r="L145" s="153" t="str">
        <f t="shared" si="10"/>
        <v>2221</v>
      </c>
      <c r="M145" s="154" t="str">
        <f t="shared" si="11"/>
        <v>TVQ A PAYER</v>
      </c>
      <c r="N145" s="155">
        <f>+IF(OR($Q145=Parametres!$G$2,$Q145=Parametres!$G$3),I145,C145)</f>
        <v>-80047.95</v>
      </c>
      <c r="O145" s="1122">
        <f>+IF(OR($Q145=Parametres!$G$2,$Q145=Parametres!$G$3),J145,D145)</f>
        <v>-1958.2</v>
      </c>
      <c r="P145" s="155">
        <f>+IF(OR($Q145=Parametres!$G$2,$Q145=Parametres!$G$3),K145,E145)</f>
        <v>-82006.149999999994</v>
      </c>
      <c r="Q145" s="154" t="str">
        <f t="shared" si="12"/>
        <v>3-Passifs</v>
      </c>
      <c r="R145" s="153" t="str">
        <f t="shared" si="13"/>
        <v>2221</v>
      </c>
      <c r="S145" s="154">
        <f t="shared" si="14"/>
        <v>0</v>
      </c>
      <c r="T145" s="156" t="str">
        <f>+VLOOKUP($L145,Data_Validation!$A:$D,1,0)</f>
        <v>2221</v>
      </c>
      <c r="U145" s="156" t="str">
        <f>+VLOOKUP($L145,Data_Validation!$A:$D,3,0)</f>
        <v>Bilan</v>
      </c>
      <c r="V145" s="156" t="str">
        <f>+VLOOKUP($L145,Data_Validation!$A:$D,4,0)</f>
        <v>Taxes de Vente à Payer</v>
      </c>
      <c r="W145" s="156" t="str">
        <f>+VLOOKUP($L145,Data_Validation!$A:$E,5,0)</f>
        <v>$</v>
      </c>
      <c r="X145" s="156">
        <f>+VLOOKUP($L145,Data_Validation!$A:$F,6,0)</f>
        <v>0</v>
      </c>
    </row>
    <row r="146" spans="1:24" ht="15" hidden="1" customHeight="1">
      <c r="A146" s="1147" t="s">
        <v>2796</v>
      </c>
      <c r="B146" s="1147" t="s">
        <v>2797</v>
      </c>
      <c r="C146" s="1149">
        <v>51173.45</v>
      </c>
      <c r="D146" s="1149">
        <v>-12836.1</v>
      </c>
      <c r="E146" s="1149">
        <v>38337.35</v>
      </c>
      <c r="F146" s="1147" t="s">
        <v>282</v>
      </c>
      <c r="G146" s="1147" t="s">
        <v>2057</v>
      </c>
      <c r="H146" s="150"/>
      <c r="I146" s="151"/>
      <c r="J146" s="151"/>
      <c r="K146" s="151"/>
      <c r="L146" s="153" t="str">
        <f t="shared" si="10"/>
        <v>2222</v>
      </c>
      <c r="M146" s="154" t="str">
        <f t="shared" si="11"/>
        <v>TVQ A RECEVOIR</v>
      </c>
      <c r="N146" s="155">
        <f>+IF(OR($Q146=Parametres!$G$2,$Q146=Parametres!$G$3),I146,C146)</f>
        <v>51173.45</v>
      </c>
      <c r="O146" s="1122">
        <f>+IF(OR($Q146=Parametres!$G$2,$Q146=Parametres!$G$3),J146,D146)</f>
        <v>-12836.1</v>
      </c>
      <c r="P146" s="155">
        <f>+IF(OR($Q146=Parametres!$G$2,$Q146=Parametres!$G$3),K146,E146)</f>
        <v>38337.35</v>
      </c>
      <c r="Q146" s="154" t="str">
        <f t="shared" si="12"/>
        <v>3-Passifs</v>
      </c>
      <c r="R146" s="153" t="str">
        <f t="shared" si="13"/>
        <v>2221</v>
      </c>
      <c r="S146" s="154">
        <f t="shared" si="14"/>
        <v>0</v>
      </c>
      <c r="T146" s="156" t="str">
        <f>+VLOOKUP($L146,Data_Validation!$A:$D,1,0)</f>
        <v>2222</v>
      </c>
      <c r="U146" s="156" t="str">
        <f>+VLOOKUP($L146,Data_Validation!$A:$D,3,0)</f>
        <v>Bilan</v>
      </c>
      <c r="V146" s="156" t="str">
        <f>+VLOOKUP($L146,Data_Validation!$A:$D,4,0)</f>
        <v>Taxes de Vente à Payer</v>
      </c>
      <c r="W146" s="156" t="str">
        <f>+VLOOKUP($L146,Data_Validation!$A:$E,5,0)</f>
        <v>$</v>
      </c>
      <c r="X146" s="156">
        <f>+VLOOKUP($L146,Data_Validation!$A:$F,6,0)</f>
        <v>0</v>
      </c>
    </row>
    <row r="147" spans="1:24" ht="15" hidden="1" customHeight="1">
      <c r="A147" s="1147" t="s">
        <v>2813</v>
      </c>
      <c r="B147" s="1147" t="s">
        <v>2066</v>
      </c>
      <c r="C147" s="1149">
        <v>-282736.5</v>
      </c>
      <c r="D147" s="1149">
        <v>-14379.54</v>
      </c>
      <c r="E147" s="1149">
        <v>-297116.03999999998</v>
      </c>
      <c r="F147" s="1147" t="s">
        <v>282</v>
      </c>
      <c r="G147" s="1147" t="s">
        <v>2066</v>
      </c>
      <c r="H147" s="150"/>
      <c r="I147" s="157"/>
      <c r="J147" s="157"/>
      <c r="K147" s="157"/>
      <c r="L147" s="153" t="str">
        <f t="shared" si="10"/>
        <v>2223</v>
      </c>
      <c r="M147" s="154" t="str">
        <f t="shared" si="11"/>
        <v>TPS A PAYER</v>
      </c>
      <c r="N147" s="155">
        <f>+IF(OR($Q147=Parametres!$G$2,$Q147=Parametres!$G$3),I147,C147)</f>
        <v>-282736.5</v>
      </c>
      <c r="O147" s="1122">
        <f>+IF(OR($Q147=Parametres!$G$2,$Q147=Parametres!$G$3),J147,D147)</f>
        <v>-14379.54</v>
      </c>
      <c r="P147" s="155">
        <f>+IF(OR($Q147=Parametres!$G$2,$Q147=Parametres!$G$3),K147,E147)</f>
        <v>-297116.03999999998</v>
      </c>
      <c r="Q147" s="154" t="str">
        <f t="shared" si="12"/>
        <v>3-Passifs</v>
      </c>
      <c r="R147" s="153" t="str">
        <f t="shared" si="13"/>
        <v>2223</v>
      </c>
      <c r="S147" s="154">
        <f t="shared" si="14"/>
        <v>0</v>
      </c>
      <c r="T147" s="156" t="str">
        <f>+VLOOKUP($L147,Data_Validation!$A:$D,1,0)</f>
        <v>2223</v>
      </c>
      <c r="U147" s="156" t="str">
        <f>+VLOOKUP($L147,Data_Validation!$A:$D,3,0)</f>
        <v>Bilan</v>
      </c>
      <c r="V147" s="156" t="str">
        <f>+VLOOKUP($L147,Data_Validation!$A:$D,4,0)</f>
        <v>Taxes de Vente à Payer</v>
      </c>
      <c r="W147" s="156" t="str">
        <f>+VLOOKUP($L147,Data_Validation!$A:$E,5,0)</f>
        <v>$</v>
      </c>
      <c r="X147" s="156">
        <f>+VLOOKUP($L147,Data_Validation!$A:$F,6,0)</f>
        <v>0</v>
      </c>
    </row>
    <row r="148" spans="1:24" ht="15" hidden="1" customHeight="1">
      <c r="A148" s="1147" t="s">
        <v>2064</v>
      </c>
      <c r="B148" s="1147" t="s">
        <v>2065</v>
      </c>
      <c r="C148" s="1149">
        <v>243897.66</v>
      </c>
      <c r="D148" s="1149">
        <v>-34306.67</v>
      </c>
      <c r="E148" s="1149">
        <v>209590.99</v>
      </c>
      <c r="F148" s="1147" t="s">
        <v>282</v>
      </c>
      <c r="G148" s="1147" t="s">
        <v>2066</v>
      </c>
      <c r="H148" s="150"/>
      <c r="I148" s="151"/>
      <c r="J148" s="151"/>
      <c r="K148" s="151"/>
      <c r="L148" s="153" t="str">
        <f t="shared" si="10"/>
        <v>2224</v>
      </c>
      <c r="M148" s="154" t="str">
        <f t="shared" si="11"/>
        <v>TPS A RECEVOIR</v>
      </c>
      <c r="N148" s="155">
        <f>+IF(OR($Q148=Parametres!$G$2,$Q148=Parametres!$G$3),I148,C148)</f>
        <v>243897.66</v>
      </c>
      <c r="O148" s="1122">
        <f>+IF(OR($Q148=Parametres!$G$2,$Q148=Parametres!$G$3),J148,D148)</f>
        <v>-34306.67</v>
      </c>
      <c r="P148" s="155">
        <f>+IF(OR($Q148=Parametres!$G$2,$Q148=Parametres!$G$3),K148,E148)</f>
        <v>209590.99</v>
      </c>
      <c r="Q148" s="154" t="str">
        <f t="shared" si="12"/>
        <v>3-Passifs</v>
      </c>
      <c r="R148" s="153" t="str">
        <f t="shared" si="13"/>
        <v>2223</v>
      </c>
      <c r="S148" s="154">
        <f t="shared" si="14"/>
        <v>0</v>
      </c>
      <c r="T148" s="156" t="str">
        <f>+VLOOKUP($L148,Data_Validation!$A:$D,1,0)</f>
        <v>2224</v>
      </c>
      <c r="U148" s="156" t="str">
        <f>+VLOOKUP($L148,Data_Validation!$A:$D,3,0)</f>
        <v>Bilan</v>
      </c>
      <c r="V148" s="156" t="str">
        <f>+VLOOKUP($L148,Data_Validation!$A:$D,4,0)</f>
        <v>Taxes de Vente à Payer</v>
      </c>
      <c r="W148" s="156" t="str">
        <f>+VLOOKUP($L148,Data_Validation!$A:$E,5,0)</f>
        <v>$</v>
      </c>
      <c r="X148" s="156">
        <f>+VLOOKUP($L148,Data_Validation!$A:$F,6,0)</f>
        <v>0</v>
      </c>
    </row>
    <row r="149" spans="1:24" ht="15" hidden="1" customHeight="1">
      <c r="A149" s="1147" t="s">
        <v>2616</v>
      </c>
      <c r="B149" s="1147" t="s">
        <v>2617</v>
      </c>
      <c r="C149" s="1149">
        <v>-1449</v>
      </c>
      <c r="D149" s="1149">
        <v>-21</v>
      </c>
      <c r="E149" s="1149">
        <v>-1470</v>
      </c>
      <c r="F149" s="1147" t="s">
        <v>282</v>
      </c>
      <c r="G149" s="1147" t="s">
        <v>2057</v>
      </c>
      <c r="H149" s="150"/>
      <c r="I149" s="157"/>
      <c r="J149" s="157"/>
      <c r="K149" s="157"/>
      <c r="L149" s="153" t="str">
        <f t="shared" si="10"/>
        <v>2225</v>
      </c>
      <c r="M149" s="154" t="str">
        <f t="shared" si="11"/>
        <v>DROIT SUR PNEUS</v>
      </c>
      <c r="N149" s="155">
        <f>+IF(OR($Q149=Parametres!$G$2,$Q149=Parametres!$G$3),I149,C149)</f>
        <v>-1449</v>
      </c>
      <c r="O149" s="1122">
        <f>+IF(OR($Q149=Parametres!$G$2,$Q149=Parametres!$G$3),J149,D149)</f>
        <v>-21</v>
      </c>
      <c r="P149" s="155">
        <f>+IF(OR($Q149=Parametres!$G$2,$Q149=Parametres!$G$3),K149,E149)</f>
        <v>-1470</v>
      </c>
      <c r="Q149" s="154" t="str">
        <f t="shared" si="12"/>
        <v>3-Passifs</v>
      </c>
      <c r="R149" s="153" t="str">
        <f t="shared" si="13"/>
        <v>2221</v>
      </c>
      <c r="S149" s="154">
        <f t="shared" si="14"/>
        <v>0</v>
      </c>
      <c r="T149" s="156" t="str">
        <f>+VLOOKUP($L149,Data_Validation!$A:$D,1,0)</f>
        <v>2225</v>
      </c>
      <c r="U149" s="156" t="str">
        <f>+VLOOKUP($L149,Data_Validation!$A:$D,3,0)</f>
        <v>Bilan</v>
      </c>
      <c r="V149" s="156" t="str">
        <f>+VLOOKUP($L149,Data_Validation!$A:$D,4,0)</f>
        <v>Taxes de Vente à Payer</v>
      </c>
      <c r="W149" s="156" t="str">
        <f>+VLOOKUP($L149,Data_Validation!$A:$E,5,0)</f>
        <v>$</v>
      </c>
      <c r="X149" s="156">
        <f>+VLOOKUP($L149,Data_Validation!$A:$F,6,0)</f>
        <v>0</v>
      </c>
    </row>
    <row r="150" spans="1:24" ht="15" hidden="1" customHeight="1">
      <c r="A150" s="1147" t="s">
        <v>2818</v>
      </c>
      <c r="B150" s="1147" t="s">
        <v>2819</v>
      </c>
      <c r="C150" s="1149">
        <v>-162546.71</v>
      </c>
      <c r="D150" s="1149">
        <v>-9287.77</v>
      </c>
      <c r="E150" s="1149">
        <v>-171834.48</v>
      </c>
      <c r="F150" s="1147" t="s">
        <v>282</v>
      </c>
      <c r="G150" s="1147" t="s">
        <v>2134</v>
      </c>
      <c r="H150" s="150"/>
      <c r="I150" s="151"/>
      <c r="J150" s="151"/>
      <c r="K150" s="151"/>
      <c r="L150" s="153" t="str">
        <f t="shared" si="10"/>
        <v>2281</v>
      </c>
      <c r="M150" s="154" t="str">
        <f t="shared" si="11"/>
        <v>LIEN A PAYER</v>
      </c>
      <c r="N150" s="155">
        <f>+IF(OR($Q150=Parametres!$G$2,$Q150=Parametres!$G$3),I150,C150)</f>
        <v>-162546.71</v>
      </c>
      <c r="O150" s="1122">
        <f>+IF(OR($Q150=Parametres!$G$2,$Q150=Parametres!$G$3),J150,D150)</f>
        <v>-9287.77</v>
      </c>
      <c r="P150" s="155">
        <f>+IF(OR($Q150=Parametres!$G$2,$Q150=Parametres!$G$3),K150,E150)</f>
        <v>-171834.48</v>
      </c>
      <c r="Q150" s="154" t="str">
        <f t="shared" si="12"/>
        <v>3-Passifs</v>
      </c>
      <c r="R150" s="153" t="str">
        <f t="shared" si="13"/>
        <v>2283</v>
      </c>
      <c r="S150" s="154">
        <f t="shared" si="14"/>
        <v>0</v>
      </c>
      <c r="T150" s="156" t="str">
        <f>+VLOOKUP($L150,Data_Validation!$A:$D,1,0)</f>
        <v>2281</v>
      </c>
      <c r="U150" s="156" t="str">
        <f>+VLOOKUP($L150,Data_Validation!$A:$D,3,0)</f>
        <v>Bilan</v>
      </c>
      <c r="V150" s="156" t="str">
        <f>+VLOOKUP($L150,Data_Validation!$A:$D,4,0)</f>
        <v>Autres Comptes à Payer</v>
      </c>
      <c r="W150" s="156" t="str">
        <f>+VLOOKUP($L150,Data_Validation!$A:$E,5,0)</f>
        <v>$</v>
      </c>
      <c r="X150" s="156">
        <f>+VLOOKUP($L150,Data_Validation!$A:$F,6,0)</f>
        <v>0</v>
      </c>
    </row>
    <row r="151" spans="1:24" ht="15.75" hidden="1" customHeight="1">
      <c r="A151" s="1147" t="s">
        <v>2173</v>
      </c>
      <c r="B151" s="1147" t="s">
        <v>2134</v>
      </c>
      <c r="C151" s="1149">
        <v>-3887.29</v>
      </c>
      <c r="D151" s="1149">
        <v>-695.21</v>
      </c>
      <c r="E151" s="1149">
        <v>-4582.5</v>
      </c>
      <c r="F151" s="1147" t="s">
        <v>282</v>
      </c>
      <c r="G151" s="1147" t="s">
        <v>2134</v>
      </c>
      <c r="H151" s="150"/>
      <c r="I151" s="151"/>
      <c r="J151" s="151"/>
      <c r="K151" s="151"/>
      <c r="L151" s="153" t="str">
        <f t="shared" si="10"/>
        <v>2283</v>
      </c>
      <c r="M151" s="154" t="str">
        <f t="shared" si="11"/>
        <v>PLAQUE A PAYER</v>
      </c>
      <c r="N151" s="155">
        <f>+IF(OR($Q151=Parametres!$G$2,$Q151=Parametres!$G$3),I151,C151)</f>
        <v>-3887.29</v>
      </c>
      <c r="O151" s="1122">
        <f>+IF(OR($Q151=Parametres!$G$2,$Q151=Parametres!$G$3),J151,D151)</f>
        <v>-695.21</v>
      </c>
      <c r="P151" s="155">
        <f>+IF(OR($Q151=Parametres!$G$2,$Q151=Parametres!$G$3),K151,E151)</f>
        <v>-4582.5</v>
      </c>
      <c r="Q151" s="154" t="str">
        <f t="shared" si="12"/>
        <v>3-Passifs</v>
      </c>
      <c r="R151" s="153" t="str">
        <f t="shared" si="13"/>
        <v>2283</v>
      </c>
      <c r="S151" s="154">
        <f t="shared" si="14"/>
        <v>0</v>
      </c>
      <c r="T151" s="156" t="str">
        <f>+VLOOKUP($L151,Data_Validation!$A:$D,1,0)</f>
        <v>2283</v>
      </c>
      <c r="U151" s="156" t="str">
        <f>+VLOOKUP($L151,Data_Validation!$A:$D,3,0)</f>
        <v>Bilan</v>
      </c>
      <c r="V151" s="156" t="str">
        <f>+VLOOKUP($L151,Data_Validation!$A:$D,4,0)</f>
        <v>Autres Comptes à Payer</v>
      </c>
      <c r="W151" s="156" t="str">
        <f>+VLOOKUP($L151,Data_Validation!$A:$E,5,0)</f>
        <v>$</v>
      </c>
      <c r="X151" s="156">
        <f>+VLOOKUP($L151,Data_Validation!$A:$F,6,0)</f>
        <v>0</v>
      </c>
    </row>
    <row r="152" spans="1:24" ht="15" hidden="1" customHeight="1">
      <c r="A152" s="1147" t="s">
        <v>2772</v>
      </c>
      <c r="B152" s="1147" t="s">
        <v>2773</v>
      </c>
      <c r="C152" s="1149">
        <v>-63734.52</v>
      </c>
      <c r="D152" s="1149">
        <v>-23334.9</v>
      </c>
      <c r="E152" s="1149">
        <v>-87069.42</v>
      </c>
      <c r="F152" s="1147" t="s">
        <v>282</v>
      </c>
      <c r="G152" s="1147" t="s">
        <v>2134</v>
      </c>
      <c r="H152" s="1013"/>
      <c r="I152" s="1013"/>
      <c r="J152" s="1013"/>
      <c r="K152" s="1013"/>
      <c r="L152" s="153" t="str">
        <f t="shared" si="10"/>
        <v>2285</v>
      </c>
      <c r="M152" s="154" t="str">
        <f t="shared" si="11"/>
        <v>PROTECTIONS A PAYER</v>
      </c>
      <c r="N152" s="155">
        <f>+IF(OR($Q152=Parametres!$G$2,$Q152=Parametres!$G$3),I152,C152)</f>
        <v>-63734.52</v>
      </c>
      <c r="O152" s="1122">
        <f>+IF(OR($Q152=Parametres!$G$2,$Q152=Parametres!$G$3),J152,D152)</f>
        <v>-23334.9</v>
      </c>
      <c r="P152" s="155">
        <f>+IF(OR($Q152=Parametres!$G$2,$Q152=Parametres!$G$3),K152,E152)</f>
        <v>-87069.42</v>
      </c>
      <c r="Q152" s="154" t="str">
        <f t="shared" si="12"/>
        <v>3-Passifs</v>
      </c>
      <c r="R152" s="153" t="str">
        <f t="shared" si="13"/>
        <v>2283</v>
      </c>
      <c r="S152" s="154">
        <f t="shared" si="14"/>
        <v>0</v>
      </c>
      <c r="T152" s="156" t="str">
        <f>+VLOOKUP($L152,Data_Validation!$A:$D,1,0)</f>
        <v>2285</v>
      </c>
      <c r="U152" s="156" t="str">
        <f>+VLOOKUP($L152,Data_Validation!$A:$D,3,0)</f>
        <v>Bilan</v>
      </c>
      <c r="V152" s="156" t="str">
        <f>+VLOOKUP($L152,Data_Validation!$A:$D,4,0)</f>
        <v>Autres Comptes à Payer</v>
      </c>
      <c r="W152" s="156" t="str">
        <f>+VLOOKUP($L152,Data_Validation!$A:$E,5,0)</f>
        <v>$</v>
      </c>
      <c r="X152" s="156">
        <f>+VLOOKUP($L152,Data_Validation!$A:$F,6,0)</f>
        <v>0</v>
      </c>
    </row>
    <row r="153" spans="1:24" ht="15" hidden="1" customHeight="1">
      <c r="A153" s="1147" t="s">
        <v>2746</v>
      </c>
      <c r="B153" s="1147" t="s">
        <v>2747</v>
      </c>
      <c r="C153" s="1149">
        <v>-16926.02</v>
      </c>
      <c r="D153" s="1149">
        <v>-3949.78</v>
      </c>
      <c r="E153" s="1149">
        <v>-20875.8</v>
      </c>
      <c r="F153" s="1147" t="s">
        <v>282</v>
      </c>
      <c r="G153" s="1147" t="s">
        <v>2134</v>
      </c>
      <c r="H153" s="1013"/>
      <c r="I153" s="1014"/>
      <c r="J153" s="1014"/>
      <c r="K153" s="1014"/>
      <c r="L153" s="153" t="str">
        <f t="shared" si="10"/>
        <v>2287</v>
      </c>
      <c r="M153" s="154" t="str">
        <f t="shared" si="11"/>
        <v>A PAYER INVAPLAN</v>
      </c>
      <c r="N153" s="155">
        <f>+IF(OR($Q153=Parametres!$G$2,$Q153=Parametres!$G$3),I153,C153)</f>
        <v>-16926.02</v>
      </c>
      <c r="O153" s="1122">
        <f>+IF(OR($Q153=Parametres!$G$2,$Q153=Parametres!$G$3),J153,D153)</f>
        <v>-3949.78</v>
      </c>
      <c r="P153" s="155">
        <f>+IF(OR($Q153=Parametres!$G$2,$Q153=Parametres!$G$3),K153,E153)</f>
        <v>-20875.8</v>
      </c>
      <c r="Q153" s="154" t="str">
        <f t="shared" si="12"/>
        <v>3-Passifs</v>
      </c>
      <c r="R153" s="153" t="str">
        <f t="shared" si="13"/>
        <v>2283</v>
      </c>
      <c r="S153" s="154">
        <f t="shared" si="14"/>
        <v>0</v>
      </c>
      <c r="T153" s="156" t="str">
        <f>+VLOOKUP($L153,Data_Validation!$A:$D,1,0)</f>
        <v>2287</v>
      </c>
      <c r="U153" s="156" t="str">
        <f>+VLOOKUP($L153,Data_Validation!$A:$D,3,0)</f>
        <v>Bilan</v>
      </c>
      <c r="V153" s="156" t="str">
        <f>+VLOOKUP($L153,Data_Validation!$A:$D,4,0)</f>
        <v>Autres Comptes à Payer</v>
      </c>
      <c r="W153" s="156" t="str">
        <f>+VLOOKUP($L153,Data_Validation!$A:$E,5,0)</f>
        <v>$</v>
      </c>
      <c r="X153" s="156">
        <f>+VLOOKUP($L153,Data_Validation!$A:$F,6,0)</f>
        <v>0</v>
      </c>
    </row>
    <row r="154" spans="1:24" ht="15" hidden="1" customHeight="1">
      <c r="A154" s="1147" t="s">
        <v>2009</v>
      </c>
      <c r="B154" s="1147" t="s">
        <v>2010</v>
      </c>
      <c r="C154" s="1149">
        <v>-57467.73</v>
      </c>
      <c r="D154" s="1149">
        <v>91186.46</v>
      </c>
      <c r="E154" s="1149">
        <v>33718.730000000003</v>
      </c>
      <c r="F154" s="1147" t="s">
        <v>282</v>
      </c>
      <c r="G154" s="1147" t="s">
        <v>2010</v>
      </c>
      <c r="H154" s="1013"/>
      <c r="I154" s="1013"/>
      <c r="J154" s="1013"/>
      <c r="K154" s="1013"/>
      <c r="L154" s="153" t="str">
        <f t="shared" si="10"/>
        <v>2291</v>
      </c>
      <c r="M154" s="154" t="str">
        <f t="shared" si="11"/>
        <v>COMPTES FOURNISSEURS</v>
      </c>
      <c r="N154" s="155">
        <f>+IF(OR($Q154=Parametres!$G$2,$Q154=Parametres!$G$3),I154,C154)</f>
        <v>-57467.73</v>
      </c>
      <c r="O154" s="1122">
        <f>+IF(OR($Q154=Parametres!$G$2,$Q154=Parametres!$G$3),J154,D154)</f>
        <v>91186.46</v>
      </c>
      <c r="P154" s="155">
        <f>+IF(OR($Q154=Parametres!$G$2,$Q154=Parametres!$G$3),K154,E154)</f>
        <v>33718.730000000003</v>
      </c>
      <c r="Q154" s="154" t="str">
        <f t="shared" si="12"/>
        <v>3-Passifs</v>
      </c>
      <c r="R154" s="153" t="str">
        <f t="shared" si="13"/>
        <v>2291</v>
      </c>
      <c r="S154" s="154">
        <f t="shared" si="14"/>
        <v>0</v>
      </c>
      <c r="T154" s="156" t="str">
        <f>+VLOOKUP($L154,Data_Validation!$A:$D,1,0)</f>
        <v>2291</v>
      </c>
      <c r="U154" s="156" t="str">
        <f>+VLOOKUP($L154,Data_Validation!$A:$D,3,0)</f>
        <v>Bilan</v>
      </c>
      <c r="V154" s="156" t="str">
        <f>+VLOOKUP($L154,Data_Validation!$A:$D,4,0)</f>
        <v>Comptes à Payer Fournisseurs</v>
      </c>
      <c r="W154" s="156" t="str">
        <f>+VLOOKUP($L154,Data_Validation!$A:$E,5,0)</f>
        <v>$</v>
      </c>
      <c r="X154" s="156">
        <f>+VLOOKUP($L154,Data_Validation!$A:$F,6,0)</f>
        <v>0</v>
      </c>
    </row>
    <row r="155" spans="1:24" ht="15.75" hidden="1" customHeight="1">
      <c r="A155" s="1147" t="s">
        <v>2049</v>
      </c>
      <c r="B155" s="1147" t="s">
        <v>2050</v>
      </c>
      <c r="C155" s="1149">
        <v>-135364.9</v>
      </c>
      <c r="D155" s="1149">
        <v>-160487.4</v>
      </c>
      <c r="E155" s="1149">
        <v>-295852.3</v>
      </c>
      <c r="F155" s="1147" t="s">
        <v>282</v>
      </c>
      <c r="G155" s="1147" t="s">
        <v>2010</v>
      </c>
      <c r="H155" s="1013"/>
      <c r="I155" s="1014"/>
      <c r="J155" s="1014"/>
      <c r="K155" s="1014"/>
      <c r="L155" s="153" t="str">
        <f t="shared" si="10"/>
        <v>2292</v>
      </c>
      <c r="M155" s="154" t="str">
        <f t="shared" si="11"/>
        <v>ECHANGE ENTRE CONCESSIONNAIRES</v>
      </c>
      <c r="N155" s="155">
        <f>+IF(OR($Q155=Parametres!$G$2,$Q155=Parametres!$G$3),I155,C155)</f>
        <v>-135364.9</v>
      </c>
      <c r="O155" s="1122">
        <f>+IF(OR($Q155=Parametres!$G$2,$Q155=Parametres!$G$3),J155,D155)</f>
        <v>-160487.4</v>
      </c>
      <c r="P155" s="155">
        <f>+IF(OR($Q155=Parametres!$G$2,$Q155=Parametres!$G$3),K155,E155)</f>
        <v>-295852.3</v>
      </c>
      <c r="Q155" s="154" t="str">
        <f t="shared" si="12"/>
        <v>3-Passifs</v>
      </c>
      <c r="R155" s="153" t="str">
        <f t="shared" si="13"/>
        <v>2291</v>
      </c>
      <c r="S155" s="154">
        <f t="shared" si="14"/>
        <v>0</v>
      </c>
      <c r="T155" s="156" t="str">
        <f>+VLOOKUP($L155,Data_Validation!$A:$D,1,0)</f>
        <v>2292</v>
      </c>
      <c r="U155" s="156" t="str">
        <f>+VLOOKUP($L155,Data_Validation!$A:$D,3,0)</f>
        <v>Bilan</v>
      </c>
      <c r="V155" s="156" t="str">
        <f>+VLOOKUP($L155,Data_Validation!$A:$D,4,0)</f>
        <v>Autres Comptes à Payer</v>
      </c>
      <c r="W155" s="156" t="str">
        <f>+VLOOKUP($L155,Data_Validation!$A:$E,5,0)</f>
        <v>$</v>
      </c>
      <c r="X155" s="156">
        <f>+VLOOKUP($L155,Data_Validation!$A:$F,6,0)</f>
        <v>0</v>
      </c>
    </row>
    <row r="156" spans="1:24" ht="15" hidden="1" customHeight="1">
      <c r="A156" s="1147" t="s">
        <v>2419</v>
      </c>
      <c r="B156" s="1147" t="s">
        <v>2420</v>
      </c>
      <c r="C156" s="1149">
        <v>-125.35</v>
      </c>
      <c r="D156" s="1149">
        <v>-30</v>
      </c>
      <c r="E156" s="1149">
        <v>-155.35</v>
      </c>
      <c r="F156" s="1147" t="s">
        <v>282</v>
      </c>
      <c r="G156" s="1147" t="s">
        <v>2133</v>
      </c>
      <c r="H156" s="1013"/>
      <c r="I156" s="1013"/>
      <c r="J156" s="1013"/>
      <c r="K156" s="1013"/>
      <c r="L156" s="153" t="str">
        <f t="shared" si="10"/>
        <v>2295</v>
      </c>
      <c r="M156" s="154" t="str">
        <f t="shared" si="11"/>
        <v>RESERVE ESSENCE</v>
      </c>
      <c r="N156" s="155">
        <f>+IF(OR($Q156=Parametres!$G$2,$Q156=Parametres!$G$3),I156,C156)</f>
        <v>-125.35</v>
      </c>
      <c r="O156" s="1122">
        <f>+IF(OR($Q156=Parametres!$G$2,$Q156=Parametres!$G$3),J156,D156)</f>
        <v>-30</v>
      </c>
      <c r="P156" s="155">
        <f>+IF(OR($Q156=Parametres!$G$2,$Q156=Parametres!$G$3),K156,E156)</f>
        <v>-155.35</v>
      </c>
      <c r="Q156" s="154" t="str">
        <f t="shared" si="12"/>
        <v>3-Passifs</v>
      </c>
      <c r="R156" s="153" t="str">
        <f t="shared" si="13"/>
        <v>2293</v>
      </c>
      <c r="S156" s="154">
        <f t="shared" si="14"/>
        <v>0</v>
      </c>
      <c r="T156" s="156" t="str">
        <f>+VLOOKUP($L156,Data_Validation!$A:$D,1,0)</f>
        <v>2295</v>
      </c>
      <c r="U156" s="156" t="str">
        <f>+VLOOKUP($L156,Data_Validation!$A:$D,3,0)</f>
        <v>Bilan</v>
      </c>
      <c r="V156" s="156" t="str">
        <f>+VLOOKUP($L156,Data_Validation!$A:$D,4,0)</f>
        <v>Autres Courus</v>
      </c>
      <c r="W156" s="156" t="str">
        <f>+VLOOKUP($L156,Data_Validation!$A:$E,5,0)</f>
        <v>$</v>
      </c>
      <c r="X156" s="156">
        <f>+VLOOKUP($L156,Data_Validation!$A:$F,6,0)</f>
        <v>0</v>
      </c>
    </row>
    <row r="157" spans="1:24" ht="15" hidden="1" customHeight="1">
      <c r="A157" s="1147" t="s">
        <v>2146</v>
      </c>
      <c r="B157" s="1147" t="s">
        <v>2147</v>
      </c>
      <c r="C157" s="1149">
        <v>-8783.33</v>
      </c>
      <c r="D157" s="1149">
        <v>8783.33</v>
      </c>
      <c r="E157" s="1149">
        <v>0</v>
      </c>
      <c r="F157" s="1147" t="s">
        <v>282</v>
      </c>
      <c r="G157" s="1147" t="s">
        <v>2134</v>
      </c>
      <c r="H157" s="150"/>
      <c r="I157" s="151"/>
      <c r="J157" s="151"/>
      <c r="K157" s="151"/>
      <c r="L157" s="153" t="str">
        <f t="shared" si="10"/>
        <v>2297</v>
      </c>
      <c r="M157" s="154" t="str">
        <f t="shared" si="11"/>
        <v>RESERVE RENOUVELLEMENT</v>
      </c>
      <c r="N157" s="155">
        <f>+IF(OR($Q157=Parametres!$G$2,$Q157=Parametres!$G$3),I157,C157)</f>
        <v>-8783.33</v>
      </c>
      <c r="O157" s="1122">
        <f>+IF(OR($Q157=Parametres!$G$2,$Q157=Parametres!$G$3),J157,D157)</f>
        <v>8783.33</v>
      </c>
      <c r="P157" s="155">
        <f>+IF(OR($Q157=Parametres!$G$2,$Q157=Parametres!$G$3),K157,E157)</f>
        <v>0</v>
      </c>
      <c r="Q157" s="154" t="str">
        <f t="shared" si="12"/>
        <v>3-Passifs</v>
      </c>
      <c r="R157" s="153" t="str">
        <f t="shared" si="13"/>
        <v>2283</v>
      </c>
      <c r="S157" s="154">
        <f t="shared" si="14"/>
        <v>0</v>
      </c>
      <c r="T157" s="156" t="str">
        <f>+VLOOKUP($L157,Data_Validation!$A:$D,1,0)</f>
        <v>2297</v>
      </c>
      <c r="U157" s="156" t="str">
        <f>+VLOOKUP($L157,Data_Validation!$A:$D,3,0)</f>
        <v>Bilan</v>
      </c>
      <c r="V157" s="156" t="str">
        <f>+VLOOKUP($L157,Data_Validation!$A:$D,4,0)</f>
        <v>Autres Courus</v>
      </c>
      <c r="W157" s="156" t="str">
        <f>+VLOOKUP($L157,Data_Validation!$A:$E,5,0)</f>
        <v>$</v>
      </c>
      <c r="X157" s="156">
        <f>+VLOOKUP($L157,Data_Validation!$A:$F,6,0)</f>
        <v>0</v>
      </c>
    </row>
    <row r="158" spans="1:24" ht="15" hidden="1" customHeight="1">
      <c r="A158" s="1147" t="s">
        <v>2710</v>
      </c>
      <c r="B158" s="1147" t="s">
        <v>2162</v>
      </c>
      <c r="C158" s="1149">
        <v>5512.96</v>
      </c>
      <c r="D158" s="1149">
        <v>-4317.2700000000004</v>
      </c>
      <c r="E158" s="1149">
        <v>1195.69</v>
      </c>
      <c r="F158" s="1147" t="s">
        <v>282</v>
      </c>
      <c r="G158" s="1147" t="s">
        <v>2162</v>
      </c>
      <c r="H158" s="150"/>
      <c r="I158" s="157"/>
      <c r="J158" s="157"/>
      <c r="K158" s="157"/>
      <c r="L158" s="153" t="str">
        <f t="shared" si="10"/>
        <v>2315</v>
      </c>
      <c r="M158" s="154" t="str">
        <f t="shared" si="11"/>
        <v>PRIME ASSURANCE GROUPE</v>
      </c>
      <c r="N158" s="155">
        <f>+IF(OR($Q158=Parametres!$G$2,$Q158=Parametres!$G$3),I158,C158)</f>
        <v>5512.96</v>
      </c>
      <c r="O158" s="1122">
        <f>+IF(OR($Q158=Parametres!$G$2,$Q158=Parametres!$G$3),J158,D158)</f>
        <v>-4317.2700000000004</v>
      </c>
      <c r="P158" s="155">
        <f>+IF(OR($Q158=Parametres!$G$2,$Q158=Parametres!$G$3),K158,E158)</f>
        <v>1195.69</v>
      </c>
      <c r="Q158" s="154" t="str">
        <f t="shared" si="12"/>
        <v>3-Passifs</v>
      </c>
      <c r="R158" s="153" t="str">
        <f t="shared" si="13"/>
        <v>2315</v>
      </c>
      <c r="S158" s="154">
        <f t="shared" si="14"/>
        <v>0</v>
      </c>
      <c r="T158" s="156" t="str">
        <f>+VLOOKUP($L158,Data_Validation!$A:$D,1,0)</f>
        <v>2315</v>
      </c>
      <c r="U158" s="156" t="str">
        <f>+VLOOKUP($L158,Data_Validation!$A:$D,3,0)</f>
        <v>Bilan</v>
      </c>
      <c r="V158" s="156" t="str">
        <f>+VLOOKUP($L158,Data_Validation!$A:$D,4,0)</f>
        <v>DAS à Payer</v>
      </c>
      <c r="W158" s="156" t="str">
        <f>+VLOOKUP($L158,Data_Validation!$A:$E,5,0)</f>
        <v>$</v>
      </c>
      <c r="X158" s="156">
        <f>+VLOOKUP($L158,Data_Validation!$A:$F,6,0)</f>
        <v>0</v>
      </c>
    </row>
    <row r="159" spans="1:24" ht="15.75" hidden="1" customHeight="1">
      <c r="A159" s="1147" t="s">
        <v>2160</v>
      </c>
      <c r="B159" s="1147" t="s">
        <v>2161</v>
      </c>
      <c r="C159" s="1149">
        <v>309</v>
      </c>
      <c r="D159" s="1149">
        <v>65.59</v>
      </c>
      <c r="E159" s="1149">
        <v>374.59</v>
      </c>
      <c r="F159" s="1147" t="s">
        <v>282</v>
      </c>
      <c r="G159" s="1147" t="s">
        <v>2162</v>
      </c>
      <c r="H159" s="150"/>
      <c r="I159" s="157"/>
      <c r="J159" s="157"/>
      <c r="K159" s="157"/>
      <c r="L159" s="153" t="str">
        <f t="shared" si="10"/>
        <v>2335</v>
      </c>
      <c r="M159" s="154" t="str">
        <f t="shared" si="11"/>
        <v>COMITE SOCIAL</v>
      </c>
      <c r="N159" s="155">
        <f>+IF(OR($Q159=Parametres!$G$2,$Q159=Parametres!$G$3),I159,C159)</f>
        <v>309</v>
      </c>
      <c r="O159" s="1122">
        <f>+IF(OR($Q159=Parametres!$G$2,$Q159=Parametres!$G$3),J159,D159)</f>
        <v>65.59</v>
      </c>
      <c r="P159" s="155">
        <f>+IF(OR($Q159=Parametres!$G$2,$Q159=Parametres!$G$3),K159,E159)</f>
        <v>374.59</v>
      </c>
      <c r="Q159" s="154" t="str">
        <f t="shared" si="12"/>
        <v>3-Passifs</v>
      </c>
      <c r="R159" s="153" t="str">
        <f t="shared" si="13"/>
        <v>2315</v>
      </c>
      <c r="S159" s="154">
        <f t="shared" si="14"/>
        <v>0</v>
      </c>
      <c r="T159" s="156" t="str">
        <f>+VLOOKUP($L159,Data_Validation!$A:$D,1,0)</f>
        <v>2335</v>
      </c>
      <c r="U159" s="156" t="str">
        <f>+VLOOKUP($L159,Data_Validation!$A:$D,3,0)</f>
        <v>Bilan</v>
      </c>
      <c r="V159" s="156" t="str">
        <f>+VLOOKUP($L159,Data_Validation!$A:$D,4,0)</f>
        <v>DAS à Payer</v>
      </c>
      <c r="W159" s="156" t="str">
        <f>+VLOOKUP($L159,Data_Validation!$A:$E,5,0)</f>
        <v>$</v>
      </c>
      <c r="X159" s="156">
        <f>+VLOOKUP($L159,Data_Validation!$A:$F,6,0)</f>
        <v>0</v>
      </c>
    </row>
    <row r="160" spans="1:24" ht="15" hidden="1" customHeight="1">
      <c r="A160" s="1147" t="s">
        <v>2749</v>
      </c>
      <c r="B160" s="1147" t="s">
        <v>2750</v>
      </c>
      <c r="C160" s="1149">
        <v>-33811.370000000003</v>
      </c>
      <c r="D160" s="1149">
        <v>3230.41</v>
      </c>
      <c r="E160" s="1149">
        <v>-30580.959999999999</v>
      </c>
      <c r="F160" s="1147" t="s">
        <v>282</v>
      </c>
      <c r="G160" s="1147" t="s">
        <v>2162</v>
      </c>
      <c r="H160" s="150"/>
      <c r="I160" s="157"/>
      <c r="J160" s="157"/>
      <c r="K160" s="157"/>
      <c r="L160" s="153" t="str">
        <f t="shared" si="10"/>
        <v>2342</v>
      </c>
      <c r="M160" s="154" t="str">
        <f t="shared" si="11"/>
        <v>REER STANDARD LIFE</v>
      </c>
      <c r="N160" s="155">
        <f>+IF(OR($Q160=Parametres!$G$2,$Q160=Parametres!$G$3),I160,C160)</f>
        <v>-33811.370000000003</v>
      </c>
      <c r="O160" s="1122">
        <f>+IF(OR($Q160=Parametres!$G$2,$Q160=Parametres!$G$3),J160,D160)</f>
        <v>3230.41</v>
      </c>
      <c r="P160" s="155">
        <f>+IF(OR($Q160=Parametres!$G$2,$Q160=Parametres!$G$3),K160,E160)</f>
        <v>-30580.959999999999</v>
      </c>
      <c r="Q160" s="154" t="str">
        <f t="shared" si="12"/>
        <v>3-Passifs</v>
      </c>
      <c r="R160" s="153" t="str">
        <f t="shared" si="13"/>
        <v>2315</v>
      </c>
      <c r="S160" s="154">
        <f t="shared" si="14"/>
        <v>0</v>
      </c>
      <c r="T160" s="156" t="str">
        <f>+VLOOKUP($L160,Data_Validation!$A:$D,1,0)</f>
        <v>2342</v>
      </c>
      <c r="U160" s="156" t="str">
        <f>+VLOOKUP($L160,Data_Validation!$A:$D,3,0)</f>
        <v>Bilan</v>
      </c>
      <c r="V160" s="156" t="str">
        <f>+VLOOKUP($L160,Data_Validation!$A:$D,4,0)</f>
        <v>DAS à Payer</v>
      </c>
      <c r="W160" s="156" t="str">
        <f>+VLOOKUP($L160,Data_Validation!$A:$E,5,0)</f>
        <v>$</v>
      </c>
      <c r="X160" s="156">
        <f>+VLOOKUP($L160,Data_Validation!$A:$F,6,0)</f>
        <v>0</v>
      </c>
    </row>
    <row r="161" spans="1:24" ht="15" hidden="1" customHeight="1">
      <c r="A161" s="1147" t="s">
        <v>2582</v>
      </c>
      <c r="B161" s="1147" t="s">
        <v>2583</v>
      </c>
      <c r="C161" s="1149">
        <v>-502.14</v>
      </c>
      <c r="D161" s="1149">
        <v>-101.92</v>
      </c>
      <c r="E161" s="1149">
        <v>-604.05999999999995</v>
      </c>
      <c r="F161" s="1147" t="s">
        <v>282</v>
      </c>
      <c r="G161" s="1147" t="s">
        <v>2162</v>
      </c>
      <c r="H161" s="150"/>
      <c r="I161" s="157"/>
      <c r="J161" s="157"/>
      <c r="K161" s="157"/>
      <c r="L161" s="153" t="str">
        <f t="shared" si="10"/>
        <v>2343</v>
      </c>
      <c r="M161" s="154" t="str">
        <f t="shared" si="11"/>
        <v>COMITE PARITAIRE</v>
      </c>
      <c r="N161" s="155">
        <f>+IF(OR($Q161=Parametres!$G$2,$Q161=Parametres!$G$3),I161,C161)</f>
        <v>-502.14</v>
      </c>
      <c r="O161" s="1122">
        <f>+IF(OR($Q161=Parametres!$G$2,$Q161=Parametres!$G$3),J161,D161)</f>
        <v>-101.92</v>
      </c>
      <c r="P161" s="155">
        <f>+IF(OR($Q161=Parametres!$G$2,$Q161=Parametres!$G$3),K161,E161)</f>
        <v>-604.05999999999995</v>
      </c>
      <c r="Q161" s="154" t="str">
        <f t="shared" si="12"/>
        <v>3-Passifs</v>
      </c>
      <c r="R161" s="153" t="str">
        <f t="shared" si="13"/>
        <v>2315</v>
      </c>
      <c r="S161" s="154">
        <f t="shared" si="14"/>
        <v>0</v>
      </c>
      <c r="T161" s="156" t="str">
        <f>+VLOOKUP($L161,Data_Validation!$A:$D,1,0)</f>
        <v>2343</v>
      </c>
      <c r="U161" s="156" t="str">
        <f>+VLOOKUP($L161,Data_Validation!$A:$D,3,0)</f>
        <v>Bilan</v>
      </c>
      <c r="V161" s="156" t="str">
        <f>+VLOOKUP($L161,Data_Validation!$A:$D,4,0)</f>
        <v>DAS à Payer</v>
      </c>
      <c r="W161" s="156" t="str">
        <f>+VLOOKUP($L161,Data_Validation!$A:$E,5,0)</f>
        <v>$</v>
      </c>
      <c r="X161" s="156">
        <f>+VLOOKUP($L161,Data_Validation!$A:$F,6,0)</f>
        <v>0</v>
      </c>
    </row>
    <row r="162" spans="1:24" ht="15" hidden="1" customHeight="1">
      <c r="A162" s="1147" t="s">
        <v>536</v>
      </c>
      <c r="B162" s="1147" t="s">
        <v>2185</v>
      </c>
      <c r="C162" s="1149">
        <v>-770.5</v>
      </c>
      <c r="D162" s="1149">
        <v>518.5</v>
      </c>
      <c r="E162" s="1149">
        <v>-252</v>
      </c>
      <c r="F162" s="1147" t="s">
        <v>282</v>
      </c>
      <c r="G162" s="1147" t="s">
        <v>2162</v>
      </c>
      <c r="H162" s="1013"/>
      <c r="I162" s="1014"/>
      <c r="J162" s="1014"/>
      <c r="K162" s="1014"/>
      <c r="L162" s="153" t="str">
        <f t="shared" si="10"/>
        <v>2344</v>
      </c>
      <c r="M162" s="154" t="str">
        <f t="shared" si="11"/>
        <v>CENTRAIDE</v>
      </c>
      <c r="N162" s="155">
        <f>+IF(OR($Q162=Parametres!$G$2,$Q162=Parametres!$G$3),I162,C162)</f>
        <v>-770.5</v>
      </c>
      <c r="O162" s="1122">
        <f>+IF(OR($Q162=Parametres!$G$2,$Q162=Parametres!$G$3),J162,D162)</f>
        <v>518.5</v>
      </c>
      <c r="P162" s="155">
        <f>+IF(OR($Q162=Parametres!$G$2,$Q162=Parametres!$G$3),K162,E162)</f>
        <v>-252</v>
      </c>
      <c r="Q162" s="154" t="str">
        <f t="shared" si="12"/>
        <v>3-Passifs</v>
      </c>
      <c r="R162" s="153" t="str">
        <f t="shared" si="13"/>
        <v>2315</v>
      </c>
      <c r="S162" s="154">
        <f t="shared" si="14"/>
        <v>0</v>
      </c>
      <c r="T162" s="156" t="str">
        <f>+VLOOKUP($L162,Data_Validation!$A:$D,1,0)</f>
        <v>2344</v>
      </c>
      <c r="U162" s="156" t="str">
        <f>+VLOOKUP($L162,Data_Validation!$A:$D,3,0)</f>
        <v>Bilan</v>
      </c>
      <c r="V162" s="156" t="str">
        <f>+VLOOKUP($L162,Data_Validation!$A:$D,4,0)</f>
        <v>DAS à Payer</v>
      </c>
      <c r="W162" s="156" t="str">
        <f>+VLOOKUP($L162,Data_Validation!$A:$E,5,0)</f>
        <v>$</v>
      </c>
      <c r="X162" s="156">
        <f>+VLOOKUP($L162,Data_Validation!$A:$F,6,0)</f>
        <v>0</v>
      </c>
    </row>
    <row r="163" spans="1:24" ht="15.75" hidden="1" customHeight="1">
      <c r="A163" s="1147" t="s">
        <v>2193</v>
      </c>
      <c r="B163" s="1147" t="s">
        <v>2194</v>
      </c>
      <c r="C163" s="1149">
        <v>-7100</v>
      </c>
      <c r="D163" s="1149">
        <v>-2000</v>
      </c>
      <c r="E163" s="1149">
        <v>-9100</v>
      </c>
      <c r="F163" s="1147" t="s">
        <v>282</v>
      </c>
      <c r="G163" s="1147" t="s">
        <v>2194</v>
      </c>
      <c r="H163" s="1118"/>
      <c r="I163" s="1118"/>
      <c r="J163" s="1118"/>
      <c r="K163" s="1118"/>
      <c r="L163" s="153" t="str">
        <f t="shared" si="10"/>
        <v>2401</v>
      </c>
      <c r="M163" s="154" t="str">
        <f t="shared" si="11"/>
        <v>DEPOTS FIDUCIE-VENTE CLIENTS</v>
      </c>
      <c r="N163" s="155">
        <f>+IF(OR($Q163=Parametres!$G$2,$Q163=Parametres!$G$3),I163,C163)</f>
        <v>-7100</v>
      </c>
      <c r="O163" s="1122">
        <f>+IF(OR($Q163=Parametres!$G$2,$Q163=Parametres!$G$3),J163,D163)</f>
        <v>-2000</v>
      </c>
      <c r="P163" s="155">
        <f>+IF(OR($Q163=Parametres!$G$2,$Q163=Parametres!$G$3),K163,E163)</f>
        <v>-9100</v>
      </c>
      <c r="Q163" s="154" t="str">
        <f t="shared" si="12"/>
        <v>3-Passifs</v>
      </c>
      <c r="R163" s="153" t="str">
        <f t="shared" si="13"/>
        <v>2401</v>
      </c>
      <c r="S163" s="154">
        <f t="shared" si="14"/>
        <v>0</v>
      </c>
      <c r="T163" s="156" t="str">
        <f>+VLOOKUP($L163,Data_Validation!$A:$D,1,0)</f>
        <v>2401</v>
      </c>
      <c r="U163" s="156" t="str">
        <f>+VLOOKUP($L163,Data_Validation!$A:$D,3,0)</f>
        <v>Bilan</v>
      </c>
      <c r="V163" s="156" t="str">
        <f>+VLOOKUP($L163,Data_Validation!$A:$D,4,0)</f>
        <v>Dépôts de Client</v>
      </c>
      <c r="W163" s="156" t="str">
        <f>+VLOOKUP($L163,Data_Validation!$A:$E,5,0)</f>
        <v>$</v>
      </c>
      <c r="X163" s="156">
        <f>+VLOOKUP($L163,Data_Validation!$A:$F,6,0)</f>
        <v>0</v>
      </c>
    </row>
    <row r="164" spans="1:24" ht="15" hidden="1" customHeight="1">
      <c r="A164" s="1147" t="s">
        <v>2600</v>
      </c>
      <c r="B164" s="1147" t="s">
        <v>2601</v>
      </c>
      <c r="C164" s="1149">
        <v>-33709.35</v>
      </c>
      <c r="D164" s="1149">
        <v>599.32000000000005</v>
      </c>
      <c r="E164" s="1149">
        <v>-33110.03</v>
      </c>
      <c r="F164" s="1147" t="s">
        <v>282</v>
      </c>
      <c r="G164" s="1147" t="s">
        <v>2601</v>
      </c>
      <c r="H164" s="948"/>
      <c r="I164" s="948"/>
      <c r="J164" s="948"/>
      <c r="K164" s="948"/>
      <c r="L164" s="153" t="str">
        <f t="shared" si="10"/>
        <v>2501</v>
      </c>
      <c r="M164" s="154" t="str">
        <f t="shared" si="11"/>
        <v>COMMISSION A PAYER</v>
      </c>
      <c r="N164" s="155">
        <f>+IF(OR($Q164=Parametres!$G$2,$Q164=Parametres!$G$3),I164,C164)</f>
        <v>-33709.35</v>
      </c>
      <c r="O164" s="1122">
        <f>+IF(OR($Q164=Parametres!$G$2,$Q164=Parametres!$G$3),J164,D164)</f>
        <v>599.32000000000005</v>
      </c>
      <c r="P164" s="155">
        <f>+IF(OR($Q164=Parametres!$G$2,$Q164=Parametres!$G$3),K164,E164)</f>
        <v>-33110.03</v>
      </c>
      <c r="Q164" s="154" t="str">
        <f t="shared" si="12"/>
        <v>3-Passifs</v>
      </c>
      <c r="R164" s="153" t="str">
        <f t="shared" si="13"/>
        <v>2501</v>
      </c>
      <c r="S164" s="154">
        <f t="shared" si="14"/>
        <v>0</v>
      </c>
      <c r="T164" s="156" t="str">
        <f>+VLOOKUP($L164,Data_Validation!$A:$D,1,0)</f>
        <v>2501</v>
      </c>
      <c r="U164" s="156" t="str">
        <f>+VLOOKUP($L164,Data_Validation!$A:$D,3,0)</f>
        <v>Bilan</v>
      </c>
      <c r="V164" s="156" t="str">
        <f>+VLOOKUP($L164,Data_Validation!$A:$D,4,0)</f>
        <v>Salaires à Payer</v>
      </c>
      <c r="W164" s="156" t="str">
        <f>+VLOOKUP($L164,Data_Validation!$A:$E,5,0)</f>
        <v>$</v>
      </c>
      <c r="X164" s="156">
        <f>+VLOOKUP($L164,Data_Validation!$A:$F,6,0)</f>
        <v>0</v>
      </c>
    </row>
    <row r="165" spans="1:24" ht="15" hidden="1" customHeight="1">
      <c r="A165" s="1147" t="s">
        <v>2956</v>
      </c>
      <c r="B165" s="1147" t="s">
        <v>2958</v>
      </c>
      <c r="C165" s="1149">
        <v>0</v>
      </c>
      <c r="D165" s="1149">
        <v>80</v>
      </c>
      <c r="E165" s="1149">
        <v>80</v>
      </c>
      <c r="F165" s="1147" t="s">
        <v>282</v>
      </c>
      <c r="G165" s="1147" t="s">
        <v>2957</v>
      </c>
      <c r="H165" s="948"/>
      <c r="I165" s="948"/>
      <c r="J165" s="948"/>
      <c r="K165" s="948"/>
      <c r="L165" s="153" t="str">
        <f t="shared" si="10"/>
        <v>2502</v>
      </c>
      <c r="M165" s="154" t="str">
        <f t="shared" si="11"/>
        <v>Compte de depense a payer</v>
      </c>
      <c r="N165" s="155">
        <f>+IF(OR($Q165=Parametres!$G$2,$Q165=Parametres!$G$3),I165,C165)</f>
        <v>0</v>
      </c>
      <c r="O165" s="1122">
        <f>+IF(OR($Q165=Parametres!$G$2,$Q165=Parametres!$G$3),J165,D165)</f>
        <v>80</v>
      </c>
      <c r="P165" s="155">
        <f>+IF(OR($Q165=Parametres!$G$2,$Q165=Parametres!$G$3),K165,E165)</f>
        <v>80</v>
      </c>
      <c r="Q165" s="154" t="str">
        <f t="shared" si="12"/>
        <v>3-Passifs</v>
      </c>
      <c r="R165" s="153" t="str">
        <f t="shared" si="13"/>
        <v>250</v>
      </c>
      <c r="S165" s="154">
        <f t="shared" si="14"/>
        <v>0</v>
      </c>
      <c r="T165" s="156" t="str">
        <f>+VLOOKUP($L165,Data_Validation!$A:$D,1,0)</f>
        <v>2502</v>
      </c>
      <c r="U165" s="156" t="str">
        <f>+VLOOKUP($L165,Data_Validation!$A:$D,3,0)</f>
        <v>Bilan</v>
      </c>
      <c r="V165" s="156" t="str">
        <f>+VLOOKUP($L165,Data_Validation!$A:$D,4,0)</f>
        <v>Salaires à Payer</v>
      </c>
      <c r="W165" s="156" t="str">
        <f>+VLOOKUP($L165,Data_Validation!$A:$E,5,0)</f>
        <v>$</v>
      </c>
      <c r="X165" s="156">
        <f>+VLOOKUP($L165,Data_Validation!$A:$F,6,0)</f>
        <v>0</v>
      </c>
    </row>
    <row r="166" spans="1:24" ht="15" hidden="1" customHeight="1">
      <c r="A166" s="1147" t="s">
        <v>2058</v>
      </c>
      <c r="B166" s="1147" t="s">
        <v>2059</v>
      </c>
      <c r="C166" s="1149">
        <v>-232094.13</v>
      </c>
      <c r="D166" s="1149">
        <v>26804.880000000001</v>
      </c>
      <c r="E166" s="1149">
        <v>-205289.25</v>
      </c>
      <c r="F166" s="1147" t="s">
        <v>282</v>
      </c>
      <c r="G166" s="1147" t="s">
        <v>2059</v>
      </c>
      <c r="H166" s="150"/>
      <c r="I166" s="157"/>
      <c r="J166" s="157"/>
      <c r="K166" s="157"/>
      <c r="L166" s="153" t="str">
        <f t="shared" si="10"/>
        <v>2503</v>
      </c>
      <c r="M166" s="154" t="str">
        <f t="shared" si="11"/>
        <v>SALAIRES DES EMPLOYES</v>
      </c>
      <c r="N166" s="155">
        <f>+IF(OR($Q166=Parametres!$G$2,$Q166=Parametres!$G$3),I166,C166)</f>
        <v>-232094.13</v>
      </c>
      <c r="O166" s="1122">
        <f>+IF(OR($Q166=Parametres!$G$2,$Q166=Parametres!$G$3),J166,D166)</f>
        <v>26804.880000000001</v>
      </c>
      <c r="P166" s="155">
        <f>+IF(OR($Q166=Parametres!$G$2,$Q166=Parametres!$G$3),K166,E166)</f>
        <v>-205289.25</v>
      </c>
      <c r="Q166" s="154" t="str">
        <f t="shared" si="12"/>
        <v>3-Passifs</v>
      </c>
      <c r="R166" s="153" t="str">
        <f t="shared" si="13"/>
        <v>2503</v>
      </c>
      <c r="S166" s="154">
        <f t="shared" si="14"/>
        <v>0</v>
      </c>
      <c r="T166" s="156" t="str">
        <f>+VLOOKUP($L166,Data_Validation!$A:$D,1,0)</f>
        <v>2503</v>
      </c>
      <c r="U166" s="156" t="str">
        <f>+VLOOKUP($L166,Data_Validation!$A:$D,3,0)</f>
        <v>Bilan</v>
      </c>
      <c r="V166" s="156" t="str">
        <f>+VLOOKUP($L166,Data_Validation!$A:$D,4,0)</f>
        <v>Salaires à Payer</v>
      </c>
      <c r="W166" s="156" t="str">
        <f>+VLOOKUP($L166,Data_Validation!$A:$E,5,0)</f>
        <v>$</v>
      </c>
      <c r="X166" s="156">
        <f>+VLOOKUP($L166,Data_Validation!$A:$F,6,0)</f>
        <v>0</v>
      </c>
    </row>
    <row r="167" spans="1:24" ht="15" hidden="1" customHeight="1">
      <c r="A167" s="1147" t="s">
        <v>2098</v>
      </c>
      <c r="B167" s="1147" t="s">
        <v>2099</v>
      </c>
      <c r="C167" s="1149">
        <v>-19013.189999999999</v>
      </c>
      <c r="D167" s="1149">
        <v>624.98</v>
      </c>
      <c r="E167" s="1149">
        <v>-18388.21</v>
      </c>
      <c r="F167" s="1147" t="s">
        <v>282</v>
      </c>
      <c r="G167" s="1147" t="s">
        <v>2059</v>
      </c>
      <c r="H167" s="150"/>
      <c r="I167" s="157"/>
      <c r="J167" s="157"/>
      <c r="K167" s="157"/>
      <c r="L167" s="153" t="str">
        <f t="shared" si="10"/>
        <v>2505</v>
      </c>
      <c r="M167" s="154" t="str">
        <f t="shared" si="11"/>
        <v>JOURS FERIES</v>
      </c>
      <c r="N167" s="155">
        <f>+IF(OR($Q167=Parametres!$G$2,$Q167=Parametres!$G$3),I167,C167)</f>
        <v>-19013.189999999999</v>
      </c>
      <c r="O167" s="1122">
        <f>+IF(OR($Q167=Parametres!$G$2,$Q167=Parametres!$G$3),J167,D167)</f>
        <v>624.98</v>
      </c>
      <c r="P167" s="155">
        <f>+IF(OR($Q167=Parametres!$G$2,$Q167=Parametres!$G$3),K167,E167)</f>
        <v>-18388.21</v>
      </c>
      <c r="Q167" s="154" t="str">
        <f t="shared" si="12"/>
        <v>3-Passifs</v>
      </c>
      <c r="R167" s="153" t="str">
        <f t="shared" si="13"/>
        <v>2503</v>
      </c>
      <c r="S167" s="154">
        <f t="shared" si="14"/>
        <v>0</v>
      </c>
      <c r="T167" s="156" t="str">
        <f>+VLOOKUP($L167,Data_Validation!$A:$D,1,0)</f>
        <v>2505</v>
      </c>
      <c r="U167" s="156" t="str">
        <f>+VLOOKUP($L167,Data_Validation!$A:$D,3,0)</f>
        <v>Bilan</v>
      </c>
      <c r="V167" s="156" t="str">
        <f>+VLOOKUP($L167,Data_Validation!$A:$D,4,0)</f>
        <v>Salaires à Payer</v>
      </c>
      <c r="W167" s="156" t="str">
        <f>+VLOOKUP($L167,Data_Validation!$A:$E,5,0)</f>
        <v>$</v>
      </c>
      <c r="X167" s="156">
        <f>+VLOOKUP($L167,Data_Validation!$A:$F,6,0)</f>
        <v>0</v>
      </c>
    </row>
    <row r="168" spans="1:24" ht="15.75" hidden="1" customHeight="1">
      <c r="A168" s="1147" t="s">
        <v>2094</v>
      </c>
      <c r="B168" s="1147" t="s">
        <v>2095</v>
      </c>
      <c r="C168" s="1149">
        <v>-229257.01</v>
      </c>
      <c r="D168" s="1149">
        <v>19563.71</v>
      </c>
      <c r="E168" s="1149">
        <v>-209693.3</v>
      </c>
      <c r="F168" s="1147" t="s">
        <v>282</v>
      </c>
      <c r="G168" s="1147" t="s">
        <v>2059</v>
      </c>
      <c r="H168" s="150"/>
      <c r="I168" s="157"/>
      <c r="J168" s="157"/>
      <c r="K168" s="157"/>
      <c r="L168" s="153" t="str">
        <f t="shared" si="10"/>
        <v>2509</v>
      </c>
      <c r="M168" s="154" t="str">
        <f t="shared" si="11"/>
        <v>SALAIRES DE VACANCES</v>
      </c>
      <c r="N168" s="155">
        <f>+IF(OR($Q168=Parametres!$G$2,$Q168=Parametres!$G$3),I168,C168)</f>
        <v>-229257.01</v>
      </c>
      <c r="O168" s="1122">
        <f>+IF(OR($Q168=Parametres!$G$2,$Q168=Parametres!$G$3),J168,D168)</f>
        <v>19563.71</v>
      </c>
      <c r="P168" s="155">
        <f>+IF(OR($Q168=Parametres!$G$2,$Q168=Parametres!$G$3),K168,E168)</f>
        <v>-209693.3</v>
      </c>
      <c r="Q168" s="154" t="str">
        <f t="shared" si="12"/>
        <v>3-Passifs</v>
      </c>
      <c r="R168" s="153" t="str">
        <f t="shared" si="13"/>
        <v>2503</v>
      </c>
      <c r="S168" s="154">
        <f t="shared" si="14"/>
        <v>0</v>
      </c>
      <c r="T168" s="156" t="str">
        <f>+VLOOKUP($L168,Data_Validation!$A:$D,1,0)</f>
        <v>2509</v>
      </c>
      <c r="U168" s="156" t="str">
        <f>+VLOOKUP($L168,Data_Validation!$A:$D,3,0)</f>
        <v>Bilan</v>
      </c>
      <c r="V168" s="156" t="str">
        <f>+VLOOKUP($L168,Data_Validation!$A:$D,4,0)</f>
        <v>Salaires à Payer</v>
      </c>
      <c r="W168" s="156" t="str">
        <f>+VLOOKUP($L168,Data_Validation!$A:$E,5,0)</f>
        <v>$</v>
      </c>
      <c r="X168" s="156">
        <f>+VLOOKUP($L168,Data_Validation!$A:$F,6,0)</f>
        <v>0</v>
      </c>
    </row>
    <row r="169" spans="1:24" ht="15" hidden="1" customHeight="1">
      <c r="A169" s="1147" t="s">
        <v>2188</v>
      </c>
      <c r="B169" s="1147" t="s">
        <v>2189</v>
      </c>
      <c r="C169" s="1149">
        <v>-167.26</v>
      </c>
      <c r="D169" s="1149">
        <v>2075.23</v>
      </c>
      <c r="E169" s="1149">
        <v>1907.97</v>
      </c>
      <c r="F169" s="1147" t="s">
        <v>282</v>
      </c>
      <c r="G169" s="1147" t="s">
        <v>2059</v>
      </c>
      <c r="H169" s="1013"/>
      <c r="I169" s="1013"/>
      <c r="J169" s="1013"/>
      <c r="K169" s="1013"/>
      <c r="L169" s="153" t="str">
        <f t="shared" si="10"/>
        <v>2511</v>
      </c>
      <c r="M169" s="154" t="str">
        <f t="shared" si="11"/>
        <v>JOURNEE MALADIE</v>
      </c>
      <c r="N169" s="155">
        <f>+IF(OR($Q169=Parametres!$G$2,$Q169=Parametres!$G$3),I169,C169)</f>
        <v>-167.26</v>
      </c>
      <c r="O169" s="1122">
        <f>+IF(OR($Q169=Parametres!$G$2,$Q169=Parametres!$G$3),J169,D169)</f>
        <v>2075.23</v>
      </c>
      <c r="P169" s="155">
        <f>+IF(OR($Q169=Parametres!$G$2,$Q169=Parametres!$G$3),K169,E169)</f>
        <v>1907.97</v>
      </c>
      <c r="Q169" s="154" t="str">
        <f t="shared" si="12"/>
        <v>3-Passifs</v>
      </c>
      <c r="R169" s="153" t="str">
        <f t="shared" si="13"/>
        <v>2503</v>
      </c>
      <c r="S169" s="154">
        <f t="shared" si="14"/>
        <v>0</v>
      </c>
      <c r="T169" s="156" t="str">
        <f>+VLOOKUP($L169,Data_Validation!$A:$D,1,0)</f>
        <v>2511</v>
      </c>
      <c r="U169" s="156" t="str">
        <f>+VLOOKUP($L169,Data_Validation!$A:$D,3,0)</f>
        <v>Bilan</v>
      </c>
      <c r="V169" s="156" t="str">
        <f>+VLOOKUP($L169,Data_Validation!$A:$D,4,0)</f>
        <v>Salaires à Payer</v>
      </c>
      <c r="W169" s="156" t="str">
        <f>+VLOOKUP($L169,Data_Validation!$A:$E,5,0)</f>
        <v>$</v>
      </c>
      <c r="X169" s="156">
        <f>+VLOOKUP($L169,Data_Validation!$A:$F,6,0)</f>
        <v>0</v>
      </c>
    </row>
    <row r="170" spans="1:24" ht="15" hidden="1" customHeight="1">
      <c r="A170" s="1147" t="s">
        <v>2689</v>
      </c>
      <c r="B170" s="1147" t="s">
        <v>2690</v>
      </c>
      <c r="C170" s="1149">
        <v>-20253.75</v>
      </c>
      <c r="D170" s="1149">
        <v>1317.5</v>
      </c>
      <c r="E170" s="1149">
        <v>-18936.25</v>
      </c>
      <c r="F170" s="1147" t="s">
        <v>282</v>
      </c>
      <c r="G170" s="1147" t="s">
        <v>2690</v>
      </c>
      <c r="H170" s="1013"/>
      <c r="I170" s="1013"/>
      <c r="J170" s="1013"/>
      <c r="K170" s="1013"/>
      <c r="L170" s="153" t="str">
        <f t="shared" si="10"/>
        <v>2801</v>
      </c>
      <c r="M170" s="154" t="str">
        <f t="shared" si="11"/>
        <v>PRET CIBC</v>
      </c>
      <c r="N170" s="155">
        <f>+IF(OR($Q170=Parametres!$G$2,$Q170=Parametres!$G$3),I170,C170)</f>
        <v>-20253.75</v>
      </c>
      <c r="O170" s="1122">
        <f>+IF(OR($Q170=Parametres!$G$2,$Q170=Parametres!$G$3),J170,D170)</f>
        <v>1317.5</v>
      </c>
      <c r="P170" s="155">
        <f>+IF(OR($Q170=Parametres!$G$2,$Q170=Parametres!$G$3),K170,E170)</f>
        <v>-18936.25</v>
      </c>
      <c r="Q170" s="154" t="str">
        <f t="shared" si="12"/>
        <v>3-Passifs</v>
      </c>
      <c r="R170" s="153" t="str">
        <f t="shared" si="13"/>
        <v>2801</v>
      </c>
      <c r="S170" s="154">
        <f t="shared" si="14"/>
        <v>0</v>
      </c>
      <c r="T170" s="156" t="str">
        <f>+VLOOKUP($L170,Data_Validation!$A:$D,1,0)</f>
        <v>2801</v>
      </c>
      <c r="U170" s="156" t="str">
        <f>+VLOOKUP($L170,Data_Validation!$A:$D,3,0)</f>
        <v>Bilan</v>
      </c>
      <c r="V170" s="156" t="str">
        <f>+VLOOKUP($L170,Data_Validation!$A:$D,4,0)</f>
        <v>Dette à Long Terme</v>
      </c>
      <c r="W170" s="156" t="str">
        <f>+VLOOKUP($L170,Data_Validation!$A:$E,5,0)</f>
        <v>$</v>
      </c>
      <c r="X170" s="156">
        <f>+VLOOKUP($L170,Data_Validation!$A:$F,6,0)</f>
        <v>0</v>
      </c>
    </row>
    <row r="171" spans="1:24" ht="15" hidden="1" customHeight="1">
      <c r="A171" s="1147" t="s">
        <v>827</v>
      </c>
      <c r="B171" s="1147" t="s">
        <v>2190</v>
      </c>
      <c r="C171" s="1149">
        <v>-19122.599999999999</v>
      </c>
      <c r="D171" s="1149">
        <v>0</v>
      </c>
      <c r="E171" s="1149">
        <v>-19122.599999999999</v>
      </c>
      <c r="F171" s="1147" t="s">
        <v>282</v>
      </c>
      <c r="G171" s="1147" t="s">
        <v>2190</v>
      </c>
      <c r="H171" s="1118"/>
      <c r="I171" s="1118"/>
      <c r="J171" s="1118"/>
      <c r="K171" s="1118"/>
      <c r="L171" s="153" t="str">
        <f t="shared" si="10"/>
        <v>2901</v>
      </c>
      <c r="M171" s="154" t="str">
        <f t="shared" si="11"/>
        <v>RESERVE CARTES PRIVILEGE</v>
      </c>
      <c r="N171" s="155">
        <f>+IF(OR($Q171=Parametres!$G$2,$Q171=Parametres!$G$3),I171,C171)</f>
        <v>-19122.599999999999</v>
      </c>
      <c r="O171" s="1122">
        <f>+IF(OR($Q171=Parametres!$G$2,$Q171=Parametres!$G$3),J171,D171)</f>
        <v>0</v>
      </c>
      <c r="P171" s="155">
        <f>+IF(OR($Q171=Parametres!$G$2,$Q171=Parametres!$G$3),K171,E171)</f>
        <v>-19122.599999999999</v>
      </c>
      <c r="Q171" s="154" t="str">
        <f t="shared" si="12"/>
        <v>3-Passifs</v>
      </c>
      <c r="R171" s="153" t="str">
        <f t="shared" si="13"/>
        <v>2901</v>
      </c>
      <c r="S171" s="154">
        <f t="shared" si="14"/>
        <v>0</v>
      </c>
      <c r="T171" s="156" t="str">
        <f>+VLOOKUP($L171,Data_Validation!$A:$D,1,0)</f>
        <v>2901</v>
      </c>
      <c r="U171" s="156" t="str">
        <f>+VLOOKUP($L171,Data_Validation!$A:$D,3,0)</f>
        <v>Bilan</v>
      </c>
      <c r="V171" s="156" t="str">
        <f>+VLOOKUP($L171,Data_Validation!$A:$D,4,0)</f>
        <v>Autres Courus</v>
      </c>
      <c r="W171" s="156" t="str">
        <f>+VLOOKUP($L171,Data_Validation!$A:$E,5,0)</f>
        <v>$</v>
      </c>
      <c r="X171" s="156">
        <f>+VLOOKUP($L171,Data_Validation!$A:$F,6,0)</f>
        <v>0</v>
      </c>
    </row>
    <row r="172" spans="1:24" ht="15.75" hidden="1" customHeight="1">
      <c r="A172" s="1147" t="s">
        <v>2423</v>
      </c>
      <c r="B172" s="1147" t="s">
        <v>2424</v>
      </c>
      <c r="C172" s="1149">
        <v>-2350000</v>
      </c>
      <c r="D172" s="1149">
        <v>0</v>
      </c>
      <c r="E172" s="1149">
        <v>-2350000</v>
      </c>
      <c r="F172" s="1147" t="s">
        <v>831</v>
      </c>
      <c r="G172" s="1147" t="s">
        <v>2424</v>
      </c>
      <c r="H172" s="1118"/>
      <c r="I172" s="1118"/>
      <c r="J172" s="1118"/>
      <c r="K172" s="1118"/>
      <c r="L172" s="153" t="str">
        <f t="shared" si="10"/>
        <v>3001</v>
      </c>
      <c r="M172" s="154" t="str">
        <f t="shared" si="11"/>
        <v>ACTIONS CATEGORIE 1</v>
      </c>
      <c r="N172" s="155">
        <f>+IF(OR($Q172=Parametres!$G$2,$Q172=Parametres!$G$3),I172,C172)</f>
        <v>-2350000</v>
      </c>
      <c r="O172" s="1122">
        <f>+IF(OR($Q172=Parametres!$G$2,$Q172=Parametres!$G$3),J172,D172)</f>
        <v>0</v>
      </c>
      <c r="P172" s="155">
        <f>+IF(OR($Q172=Parametres!$G$2,$Q172=Parametres!$G$3),K172,E172)</f>
        <v>-2350000</v>
      </c>
      <c r="Q172" s="154" t="str">
        <f t="shared" si="12"/>
        <v>4-Valeur nette</v>
      </c>
      <c r="R172" s="153" t="str">
        <f t="shared" si="13"/>
        <v>3001</v>
      </c>
      <c r="S172" s="154">
        <f t="shared" si="14"/>
        <v>0</v>
      </c>
      <c r="T172" s="156" t="str">
        <f>+VLOOKUP($L172,Data_Validation!$A:$D,1,0)</f>
        <v>3001</v>
      </c>
      <c r="U172" s="156" t="str">
        <f>+VLOOKUP($L172,Data_Validation!$A:$D,3,0)</f>
        <v>Bilan</v>
      </c>
      <c r="V172" s="156" t="str">
        <f>+VLOOKUP($L172,Data_Validation!$A:$D,4,0)</f>
        <v>Capital Actions</v>
      </c>
      <c r="W172" s="156" t="str">
        <f>+VLOOKUP($L172,Data_Validation!$A:$E,5,0)</f>
        <v>$</v>
      </c>
      <c r="X172" s="156">
        <f>+VLOOKUP($L172,Data_Validation!$A:$F,6,0)</f>
        <v>0</v>
      </c>
    </row>
    <row r="173" spans="1:24" ht="15" hidden="1" customHeight="1">
      <c r="A173" s="1147" t="s">
        <v>2425</v>
      </c>
      <c r="B173" s="1147" t="s">
        <v>2426</v>
      </c>
      <c r="C173" s="1149">
        <v>-1723617</v>
      </c>
      <c r="D173" s="1149">
        <v>0</v>
      </c>
      <c r="E173" s="1149">
        <v>-1723617</v>
      </c>
      <c r="F173" s="1147" t="s">
        <v>831</v>
      </c>
      <c r="G173" s="1147" t="s">
        <v>2424</v>
      </c>
      <c r="H173" s="1013"/>
      <c r="I173" s="1013"/>
      <c r="J173" s="1013"/>
      <c r="K173" s="1013"/>
      <c r="L173" s="153" t="str">
        <f t="shared" si="10"/>
        <v>3003</v>
      </c>
      <c r="M173" s="154" t="str">
        <f t="shared" si="11"/>
        <v>APPORT / RETRAIT</v>
      </c>
      <c r="N173" s="155">
        <f>+IF(OR($Q173=Parametres!$G$2,$Q173=Parametres!$G$3),I173,C173)</f>
        <v>-1723617</v>
      </c>
      <c r="O173" s="1122">
        <f>+IF(OR($Q173=Parametres!$G$2,$Q173=Parametres!$G$3),J173,D173)</f>
        <v>0</v>
      </c>
      <c r="P173" s="155">
        <f>+IF(OR($Q173=Parametres!$G$2,$Q173=Parametres!$G$3),K173,E173)</f>
        <v>-1723617</v>
      </c>
      <c r="Q173" s="154" t="str">
        <f t="shared" si="12"/>
        <v>4-Valeur nette</v>
      </c>
      <c r="R173" s="153" t="str">
        <f t="shared" si="13"/>
        <v>3001</v>
      </c>
      <c r="S173" s="154">
        <f t="shared" si="14"/>
        <v>0</v>
      </c>
      <c r="T173" s="156" t="str">
        <f>+VLOOKUP($L173,Data_Validation!$A:$D,1,0)</f>
        <v>3003</v>
      </c>
      <c r="U173" s="156" t="str">
        <f>+VLOOKUP($L173,Data_Validation!$A:$D,3,0)</f>
        <v>Bilan</v>
      </c>
      <c r="V173" s="156" t="str">
        <f>+VLOOKUP($L173,Data_Validation!$A:$D,4,0)</f>
        <v>Apport</v>
      </c>
      <c r="W173" s="156" t="str">
        <f>+VLOOKUP($L173,Data_Validation!$A:$E,5,0)</f>
        <v>$</v>
      </c>
      <c r="X173" s="156">
        <f>+VLOOKUP($L173,Data_Validation!$A:$F,6,0)</f>
        <v>0</v>
      </c>
    </row>
    <row r="174" spans="1:24" ht="15" hidden="1" customHeight="1">
      <c r="A174" s="1147" t="s">
        <v>2427</v>
      </c>
      <c r="B174" s="1147" t="s">
        <v>2428</v>
      </c>
      <c r="C174" s="1149">
        <v>-347547.5</v>
      </c>
      <c r="D174" s="1149">
        <v>0</v>
      </c>
      <c r="E174" s="1149">
        <v>-347547.5</v>
      </c>
      <c r="F174" s="1147" t="s">
        <v>831</v>
      </c>
      <c r="G174" s="1147" t="s">
        <v>2424</v>
      </c>
      <c r="H174" s="1013"/>
      <c r="I174" s="1013"/>
      <c r="J174" s="1013"/>
      <c r="K174" s="1013"/>
      <c r="L174" s="153" t="str">
        <f t="shared" si="10"/>
        <v>3007</v>
      </c>
      <c r="M174" s="154" t="str">
        <f t="shared" si="11"/>
        <v>ACTIONS PARTICIPANTES</v>
      </c>
      <c r="N174" s="155">
        <f>+IF(OR($Q174=Parametres!$G$2,$Q174=Parametres!$G$3),I174,C174)</f>
        <v>-347547.5</v>
      </c>
      <c r="O174" s="1122">
        <f>+IF(OR($Q174=Parametres!$G$2,$Q174=Parametres!$G$3),J174,D174)</f>
        <v>0</v>
      </c>
      <c r="P174" s="155">
        <f>+IF(OR($Q174=Parametres!$G$2,$Q174=Parametres!$G$3),K174,E174)</f>
        <v>-347547.5</v>
      </c>
      <c r="Q174" s="154" t="str">
        <f t="shared" si="12"/>
        <v>4-Valeur nette</v>
      </c>
      <c r="R174" s="153" t="str">
        <f t="shared" si="13"/>
        <v>3001</v>
      </c>
      <c r="S174" s="154">
        <f t="shared" si="14"/>
        <v>0</v>
      </c>
      <c r="T174" s="156" t="str">
        <f>+VLOOKUP($L174,Data_Validation!$A:$D,1,0)</f>
        <v>3007</v>
      </c>
      <c r="U174" s="156" t="str">
        <f>+VLOOKUP($L174,Data_Validation!$A:$D,3,0)</f>
        <v>Bilan</v>
      </c>
      <c r="V174" s="156" t="str">
        <f>+VLOOKUP($L174,Data_Validation!$A:$D,4,0)</f>
        <v>Capital Actions</v>
      </c>
      <c r="W174" s="156">
        <f>+VLOOKUP($L174,Data_Validation!$A:$E,5,0)</f>
        <v>0</v>
      </c>
      <c r="X174" s="156">
        <f>+VLOOKUP($L174,Data_Validation!$A:$F,6,0)</f>
        <v>0</v>
      </c>
    </row>
    <row r="175" spans="1:24" ht="15" hidden="1" customHeight="1">
      <c r="A175" s="1147" t="s">
        <v>2429</v>
      </c>
      <c r="B175" s="1147" t="s">
        <v>2430</v>
      </c>
      <c r="C175" s="1149">
        <v>-973229.33</v>
      </c>
      <c r="D175" s="1149">
        <v>0</v>
      </c>
      <c r="E175" s="1149">
        <v>-973229.33</v>
      </c>
      <c r="F175" s="1147" t="s">
        <v>831</v>
      </c>
      <c r="G175" s="1147" t="s">
        <v>2424</v>
      </c>
      <c r="H175" s="150"/>
      <c r="I175" s="157"/>
      <c r="J175" s="157"/>
      <c r="K175" s="157"/>
      <c r="L175" s="153" t="str">
        <f t="shared" si="10"/>
        <v>3201</v>
      </c>
      <c r="M175" s="154" t="str">
        <f t="shared" si="11"/>
        <v>BENEFICES NON-REPARTIS</v>
      </c>
      <c r="N175" s="155">
        <f>+IF(OR($Q175=Parametres!$G$2,$Q175=Parametres!$G$3),I175,C175)</f>
        <v>-973229.33</v>
      </c>
      <c r="O175" s="1122">
        <f>+IF(OR($Q175=Parametres!$G$2,$Q175=Parametres!$G$3),J175,D175)</f>
        <v>0</v>
      </c>
      <c r="P175" s="155">
        <f>+IF(OR($Q175=Parametres!$G$2,$Q175=Parametres!$G$3),K175,E175)</f>
        <v>-973229.33</v>
      </c>
      <c r="Q175" s="154" t="str">
        <f t="shared" si="12"/>
        <v>4-Valeur nette</v>
      </c>
      <c r="R175" s="153" t="str">
        <f t="shared" si="13"/>
        <v>3001</v>
      </c>
      <c r="S175" s="154">
        <f t="shared" si="14"/>
        <v>0</v>
      </c>
      <c r="T175" s="156" t="str">
        <f>+VLOOKUP($L175,Data_Validation!$A:$D,1,0)</f>
        <v>3201</v>
      </c>
      <c r="U175" s="156" t="str">
        <f>+VLOOKUP($L175,Data_Validation!$A:$D,3,0)</f>
        <v>Bilan</v>
      </c>
      <c r="V175" s="156" t="str">
        <f>+VLOOKUP($L175,Data_Validation!$A:$D,4,0)</f>
        <v>Bénéfices non répartis</v>
      </c>
      <c r="W175" s="156" t="str">
        <f>+VLOOKUP($L175,Data_Validation!$A:$E,5,0)</f>
        <v>$</v>
      </c>
      <c r="X175" s="156">
        <f>+VLOOKUP($L175,Data_Validation!$A:$F,6,0)</f>
        <v>0</v>
      </c>
    </row>
    <row r="176" spans="1:24" ht="15.75" hidden="1" customHeight="1">
      <c r="A176" s="1147" t="s">
        <v>2025</v>
      </c>
      <c r="B176" s="1147" t="s">
        <v>2026</v>
      </c>
      <c r="C176" s="1149">
        <v>-1290982</v>
      </c>
      <c r="D176" s="1149">
        <v>-199778.75</v>
      </c>
      <c r="E176" s="1149">
        <v>-1490760.75</v>
      </c>
      <c r="F176" s="1147" t="s">
        <v>285</v>
      </c>
      <c r="G176" s="1147" t="s">
        <v>2026</v>
      </c>
      <c r="H176" s="150"/>
      <c r="I176" s="151"/>
      <c r="J176" s="151"/>
      <c r="K176" s="151"/>
      <c r="L176" s="153" t="str">
        <f t="shared" si="10"/>
        <v>4100</v>
      </c>
      <c r="M176" s="154" t="str">
        <f t="shared" si="11"/>
        <v>VTE - RACHAT BAIL VW</v>
      </c>
      <c r="N176" s="155">
        <f>+IF(OR($Q176=Parametres!$G$2,$Q176=Parametres!$G$3),I176,C176)</f>
        <v>-1290982</v>
      </c>
      <c r="O176" s="1122">
        <f>+IF(OR($Q176=Parametres!$G$2,$Q176=Parametres!$G$3),J176,D176)</f>
        <v>-199778.75</v>
      </c>
      <c r="P176" s="155">
        <f>+IF(OR($Q176=Parametres!$G$2,$Q176=Parametres!$G$3),K176,E176)</f>
        <v>-1490760.75</v>
      </c>
      <c r="Q176" s="154" t="str">
        <f t="shared" si="12"/>
        <v>5-Ventes</v>
      </c>
      <c r="R176" s="153" t="str">
        <f t="shared" si="13"/>
        <v>4100</v>
      </c>
      <c r="S176" s="154">
        <f t="shared" si="14"/>
        <v>0</v>
      </c>
      <c r="T176" s="156" t="str">
        <f>+VLOOKUP($L176,Data_Validation!$A:$D,1,0)</f>
        <v>4100</v>
      </c>
      <c r="U176" s="156" t="str">
        <f>+VLOOKUP($L176,Data_Validation!$A:$D,3,0)</f>
        <v>Véhicules neufs</v>
      </c>
      <c r="V176" s="156" t="str">
        <f>+VLOOKUP($L176,Data_Validation!$A:$D,4,0)</f>
        <v>Rachat bail</v>
      </c>
      <c r="W176" s="156" t="str">
        <f>+VLOOKUP($L176,Data_Validation!$A:$E,5,0)</f>
        <v>$</v>
      </c>
      <c r="X176" s="156" t="str">
        <f>+VLOOKUP($L176,Data_Validation!$A:$F,6,0)</f>
        <v>Oui</v>
      </c>
    </row>
    <row r="177" spans="1:24" ht="15" hidden="1" customHeight="1">
      <c r="A177" s="1147" t="s">
        <v>2482</v>
      </c>
      <c r="B177" s="1147" t="s">
        <v>2483</v>
      </c>
      <c r="C177" s="1149"/>
      <c r="D177" s="1149"/>
      <c r="E177" s="1149"/>
      <c r="F177" s="1147" t="s">
        <v>4</v>
      </c>
      <c r="G177" s="1147" t="s">
        <v>2026</v>
      </c>
      <c r="H177" s="1145"/>
      <c r="I177" s="1145">
        <v>-68</v>
      </c>
      <c r="J177" s="1145">
        <v>-9</v>
      </c>
      <c r="K177" s="1145">
        <v>-77</v>
      </c>
      <c r="L177" s="153" t="str">
        <f t="shared" si="10"/>
        <v>4100@</v>
      </c>
      <c r="M177" s="154" t="str">
        <f t="shared" si="11"/>
        <v>RESERVE</v>
      </c>
      <c r="N177" s="155">
        <f>+IF(OR($Q177=Parametres!$G$2,$Q177=Parametres!$G$3),I177,C177)</f>
        <v>-68</v>
      </c>
      <c r="O177" s="1122">
        <f>+IF(OR($Q177=Parametres!$G$2,$Q177=Parametres!$G$3),J177,D177)</f>
        <v>-9</v>
      </c>
      <c r="P177" s="155">
        <f>+IF(OR($Q177=Parametres!$G$2,$Q177=Parametres!$G$3),K177,E177)</f>
        <v>-77</v>
      </c>
      <c r="Q177" s="154" t="str">
        <f t="shared" si="12"/>
        <v>10-Compte compteur</v>
      </c>
      <c r="R177" s="153" t="str">
        <f t="shared" si="13"/>
        <v>4100</v>
      </c>
      <c r="S177" s="154">
        <f t="shared" si="14"/>
        <v>0</v>
      </c>
      <c r="T177" s="156" t="str">
        <f>+VLOOKUP($L177,Data_Validation!$A:$D,1,0)</f>
        <v>4100@</v>
      </c>
      <c r="U177" s="156" t="str">
        <f>+VLOOKUP($L177,Data_Validation!$A:$D,3,0)</f>
        <v>Véhicules neufs</v>
      </c>
      <c r="V177" s="156" t="str">
        <f>+VLOOKUP($L177,Data_Validation!$A:$D,4,0)</f>
        <v>Rachat bail</v>
      </c>
      <c r="W177" s="156" t="str">
        <f>+VLOOKUP($L177,Data_Validation!$A:$E,5,0)</f>
        <v>NB</v>
      </c>
      <c r="X177" s="156">
        <f>+VLOOKUP($L177,Data_Validation!$A:$F,6,0)</f>
        <v>0</v>
      </c>
    </row>
    <row r="178" spans="1:24" ht="15" hidden="1" customHeight="1">
      <c r="A178" s="1147" t="s">
        <v>2433</v>
      </c>
      <c r="B178" s="1147" t="s">
        <v>2434</v>
      </c>
      <c r="C178" s="1149">
        <v>-107154.26</v>
      </c>
      <c r="D178" s="1149">
        <v>0</v>
      </c>
      <c r="E178" s="1149">
        <v>-107154.26</v>
      </c>
      <c r="F178" s="1147" t="s">
        <v>285</v>
      </c>
      <c r="G178" s="1147" t="s">
        <v>2434</v>
      </c>
      <c r="H178" s="1145"/>
      <c r="I178" s="1145"/>
      <c r="J178" s="1145"/>
      <c r="K178" s="1145"/>
      <c r="L178" s="153" t="str">
        <f t="shared" si="10"/>
        <v>4105</v>
      </c>
      <c r="M178" s="579" t="str">
        <f t="shared" si="11"/>
        <v>VTES -VTE - ARTEON</v>
      </c>
      <c r="N178" s="155">
        <f>+IF(OR($Q178=Parametres!$G$2,$Q178=Parametres!$G$3),I178,C178)</f>
        <v>-107154.26</v>
      </c>
      <c r="O178" s="1120">
        <f>+IF(OR($Q178=Parametres!$G$2,$Q178=Parametres!$G$3),J178,D178)</f>
        <v>0</v>
      </c>
      <c r="P178" s="581">
        <f>+IF(OR($Q178=Parametres!$G$2,$Q178=Parametres!$G$3),K178,E178)</f>
        <v>-107154.26</v>
      </c>
      <c r="Q178" s="154" t="str">
        <f t="shared" si="12"/>
        <v>5-Ventes</v>
      </c>
      <c r="R178" s="153" t="str">
        <f t="shared" si="13"/>
        <v>4105</v>
      </c>
      <c r="S178" s="154">
        <f t="shared" si="14"/>
        <v>0</v>
      </c>
      <c r="T178" s="156" t="str">
        <f>+VLOOKUP($L178,Data_Validation!$A:$D,1,0)</f>
        <v>4105</v>
      </c>
      <c r="U178" s="156" t="str">
        <f>+VLOOKUP($L178,Data_Validation!$A:$D,3,0)</f>
        <v>Véhicules neufs</v>
      </c>
      <c r="V178" s="156" t="str">
        <f>+VLOOKUP($L178,Data_Validation!$A:$D,4,0)</f>
        <v>Autos détail</v>
      </c>
      <c r="W178" s="156" t="str">
        <f>+VLOOKUP($L178,Data_Validation!$A:$E,5,0)</f>
        <v>$</v>
      </c>
      <c r="X178" s="156" t="str">
        <f>+VLOOKUP($L178,Data_Validation!$A:$F,6,0)</f>
        <v>Oui</v>
      </c>
    </row>
    <row r="179" spans="1:24" ht="15" hidden="1" customHeight="1">
      <c r="A179" s="1147" t="s">
        <v>2486</v>
      </c>
      <c r="B179" s="1147" t="s">
        <v>2487</v>
      </c>
      <c r="C179" s="1149"/>
      <c r="D179" s="1149"/>
      <c r="E179" s="1149"/>
      <c r="F179" s="1147" t="s">
        <v>4</v>
      </c>
      <c r="G179" s="1147" t="s">
        <v>2434</v>
      </c>
      <c r="H179" s="1145"/>
      <c r="I179" s="1145">
        <v>-2</v>
      </c>
      <c r="J179" s="1145">
        <v>0</v>
      </c>
      <c r="K179" s="1145">
        <v>-2</v>
      </c>
      <c r="L179" s="153" t="str">
        <f t="shared" si="10"/>
        <v>4105@</v>
      </c>
      <c r="M179" s="154" t="str">
        <f t="shared" si="11"/>
        <v>ROUTAN</v>
      </c>
      <c r="N179" s="155">
        <f>+IF(OR($Q179=Parametres!$G$2,$Q179=Parametres!$G$3),I179,C179)</f>
        <v>-2</v>
      </c>
      <c r="O179" s="1122">
        <f>+IF(OR($Q179=Parametres!$G$2,$Q179=Parametres!$G$3),J179,D179)</f>
        <v>0</v>
      </c>
      <c r="P179" s="155">
        <f>+IF(OR($Q179=Parametres!$G$2,$Q179=Parametres!$G$3),K179,E179)</f>
        <v>-2</v>
      </c>
      <c r="Q179" s="154" t="str">
        <f t="shared" si="12"/>
        <v>10-Compte compteur</v>
      </c>
      <c r="R179" s="153" t="str">
        <f t="shared" si="13"/>
        <v>4105</v>
      </c>
      <c r="S179" s="154">
        <f t="shared" si="14"/>
        <v>0</v>
      </c>
      <c r="T179" s="156" t="str">
        <f>+VLOOKUP($L179,Data_Validation!$A:$D,1,0)</f>
        <v>4105@</v>
      </c>
      <c r="U179" s="156" t="str">
        <f>+VLOOKUP($L179,Data_Validation!$A:$D,3,0)</f>
        <v>Véhicules neufs</v>
      </c>
      <c r="V179" s="156" t="str">
        <f>+VLOOKUP($L179,Data_Validation!$A:$D,4,0)</f>
        <v>Autos détail</v>
      </c>
      <c r="W179" s="156" t="str">
        <f>+VLOOKUP($L179,Data_Validation!$A:$E,5,0)</f>
        <v>NB</v>
      </c>
      <c r="X179" s="156">
        <f>+VLOOKUP($L179,Data_Validation!$A:$F,6,0)</f>
        <v>0</v>
      </c>
    </row>
    <row r="180" spans="1:24" ht="15" hidden="1" customHeight="1">
      <c r="A180" s="1147" t="s">
        <v>2018</v>
      </c>
      <c r="B180" s="1147" t="s">
        <v>2019</v>
      </c>
      <c r="C180" s="1149">
        <v>-1523351.83</v>
      </c>
      <c r="D180" s="1149">
        <v>-187543.3</v>
      </c>
      <c r="E180" s="1149">
        <v>-1710895.13</v>
      </c>
      <c r="F180" s="1147" t="s">
        <v>285</v>
      </c>
      <c r="G180" s="1147" t="s">
        <v>2019</v>
      </c>
      <c r="H180" s="1145"/>
      <c r="I180" s="1145"/>
      <c r="J180" s="1145"/>
      <c r="K180" s="1145"/>
      <c r="L180" s="153" t="str">
        <f t="shared" si="10"/>
        <v>4107</v>
      </c>
      <c r="M180" s="154" t="str">
        <f t="shared" si="11"/>
        <v>VTE - GOLF A6</v>
      </c>
      <c r="N180" s="155">
        <f>+IF(OR($Q180=Parametres!$G$2,$Q180=Parametres!$G$3),I180,C180)</f>
        <v>-1523351.83</v>
      </c>
      <c r="O180" s="1122">
        <f>+IF(OR($Q180=Parametres!$G$2,$Q180=Parametres!$G$3),J180,D180)</f>
        <v>-187543.3</v>
      </c>
      <c r="P180" s="155">
        <f>+IF(OR($Q180=Parametres!$G$2,$Q180=Parametres!$G$3),K180,E180)</f>
        <v>-1710895.13</v>
      </c>
      <c r="Q180" s="154" t="str">
        <f t="shared" si="12"/>
        <v>5-Ventes</v>
      </c>
      <c r="R180" s="153" t="str">
        <f t="shared" si="13"/>
        <v>4107</v>
      </c>
      <c r="S180" s="154">
        <f t="shared" si="14"/>
        <v>0</v>
      </c>
      <c r="T180" s="156" t="str">
        <f>+VLOOKUP($L180,Data_Validation!$A:$D,1,0)</f>
        <v>4107</v>
      </c>
      <c r="U180" s="156" t="str">
        <f>+VLOOKUP($L180,Data_Validation!$A:$D,3,0)</f>
        <v>Véhicules neufs</v>
      </c>
      <c r="V180" s="156" t="str">
        <f>+VLOOKUP($L180,Data_Validation!$A:$D,4,0)</f>
        <v>Autos détail</v>
      </c>
      <c r="W180" s="156" t="str">
        <f>+VLOOKUP($L180,Data_Validation!$A:$E,5,0)</f>
        <v>$</v>
      </c>
      <c r="X180" s="156" t="str">
        <f>+VLOOKUP($L180,Data_Validation!$A:$F,6,0)</f>
        <v>Oui</v>
      </c>
    </row>
    <row r="181" spans="1:24" ht="15.75" hidden="1" customHeight="1">
      <c r="A181" s="1147" t="s">
        <v>2488</v>
      </c>
      <c r="B181" s="1147" t="s">
        <v>2489</v>
      </c>
      <c r="C181" s="1149"/>
      <c r="D181" s="1149"/>
      <c r="E181" s="1149"/>
      <c r="F181" s="1147" t="s">
        <v>4</v>
      </c>
      <c r="G181" s="1147" t="s">
        <v>2019</v>
      </c>
      <c r="H181" s="1145"/>
      <c r="I181" s="1145">
        <v>-56</v>
      </c>
      <c r="J181" s="1145">
        <v>-7</v>
      </c>
      <c r="K181" s="1145">
        <v>-63</v>
      </c>
      <c r="L181" s="153" t="str">
        <f t="shared" si="10"/>
        <v>4107@</v>
      </c>
      <c r="M181" s="154" t="str">
        <f t="shared" si="11"/>
        <v>UNITES VENDUES GOLF</v>
      </c>
      <c r="N181" s="155">
        <f>+IF(OR($Q181=Parametres!$G$2,$Q181=Parametres!$G$3),I181,C181)</f>
        <v>-56</v>
      </c>
      <c r="O181" s="1122">
        <f>+IF(OR($Q181=Parametres!$G$2,$Q181=Parametres!$G$3),J181,D181)</f>
        <v>-7</v>
      </c>
      <c r="P181" s="155">
        <f>+IF(OR($Q181=Parametres!$G$2,$Q181=Parametres!$G$3),K181,E181)</f>
        <v>-63</v>
      </c>
      <c r="Q181" s="154" t="str">
        <f t="shared" si="12"/>
        <v>10-Compte compteur</v>
      </c>
      <c r="R181" s="153" t="str">
        <f t="shared" si="13"/>
        <v>4107</v>
      </c>
      <c r="S181" s="154">
        <f t="shared" si="14"/>
        <v>0</v>
      </c>
      <c r="T181" s="156" t="str">
        <f>+VLOOKUP($L181,Data_Validation!$A:$D,1,0)</f>
        <v>4107@</v>
      </c>
      <c r="U181" s="156" t="str">
        <f>+VLOOKUP($L181,Data_Validation!$A:$D,3,0)</f>
        <v>Véhicules neufs</v>
      </c>
      <c r="V181" s="156" t="str">
        <f>+VLOOKUP($L181,Data_Validation!$A:$D,4,0)</f>
        <v>Autos détail</v>
      </c>
      <c r="W181" s="156" t="str">
        <f>+VLOOKUP($L181,Data_Validation!$A:$E,5,0)</f>
        <v>NB</v>
      </c>
      <c r="X181" s="156">
        <f>+VLOOKUP($L181,Data_Validation!$A:$F,6,0)</f>
        <v>0</v>
      </c>
    </row>
    <row r="182" spans="1:24" ht="15.75" hidden="1" customHeight="1">
      <c r="A182" s="1147" t="s">
        <v>2013</v>
      </c>
      <c r="B182" s="1147" t="s">
        <v>2014</v>
      </c>
      <c r="C182" s="1149">
        <v>-1114511.69</v>
      </c>
      <c r="D182" s="1149">
        <v>-429468.49</v>
      </c>
      <c r="E182" s="1149">
        <v>-1543980.18</v>
      </c>
      <c r="F182" s="1147" t="s">
        <v>285</v>
      </c>
      <c r="G182" s="1147" t="s">
        <v>2014</v>
      </c>
      <c r="H182" s="1145"/>
      <c r="I182" s="1145"/>
      <c r="J182" s="1145"/>
      <c r="K182" s="1145"/>
      <c r="L182" s="153" t="str">
        <f t="shared" si="10"/>
        <v>4111</v>
      </c>
      <c r="M182" s="154" t="str">
        <f t="shared" si="11"/>
        <v>VTE - JETTA</v>
      </c>
      <c r="N182" s="155">
        <f>+IF(OR($Q182=Parametres!$G$2,$Q182=Parametres!$G$3),I182,C182)</f>
        <v>-1114511.69</v>
      </c>
      <c r="O182" s="1120">
        <f>+IF(OR($Q182=Parametres!$G$2,$Q182=Parametres!$G$3),J182,D182)</f>
        <v>-429468.49</v>
      </c>
      <c r="P182" s="155">
        <f>+IF(OR($Q182=Parametres!$G$2,$Q182=Parametres!$G$3),K182,E182)</f>
        <v>-1543980.18</v>
      </c>
      <c r="Q182" s="154" t="str">
        <f t="shared" si="12"/>
        <v>5-Ventes</v>
      </c>
      <c r="R182" s="153" t="str">
        <f t="shared" si="13"/>
        <v>4111</v>
      </c>
      <c r="S182" s="154">
        <f t="shared" si="14"/>
        <v>0</v>
      </c>
      <c r="T182" s="156" t="str">
        <f>+VLOOKUP($L182,Data_Validation!$A:$D,1,0)</f>
        <v>4111</v>
      </c>
      <c r="U182" s="156" t="str">
        <f>+VLOOKUP($L182,Data_Validation!$A:$D,3,0)</f>
        <v>Véhicules neufs</v>
      </c>
      <c r="V182" s="156" t="str">
        <f>+VLOOKUP($L182,Data_Validation!$A:$D,4,0)</f>
        <v>Autos détail</v>
      </c>
      <c r="W182" s="156" t="str">
        <f>+VLOOKUP($L182,Data_Validation!$A:$E,5,0)</f>
        <v>$</v>
      </c>
      <c r="X182" s="156" t="str">
        <f>+VLOOKUP($L182,Data_Validation!$A:$F,6,0)</f>
        <v>Oui</v>
      </c>
    </row>
    <row r="183" spans="1:24" ht="15.75" hidden="1" customHeight="1">
      <c r="A183" s="1147" t="s">
        <v>2492</v>
      </c>
      <c r="B183" s="1147" t="s">
        <v>2493</v>
      </c>
      <c r="C183" s="1149"/>
      <c r="D183" s="1149"/>
      <c r="E183" s="1149"/>
      <c r="F183" s="1147" t="s">
        <v>4</v>
      </c>
      <c r="G183" s="1147" t="s">
        <v>2014</v>
      </c>
      <c r="H183" s="1145"/>
      <c r="I183" s="1145">
        <v>-40</v>
      </c>
      <c r="J183" s="1145">
        <v>-14</v>
      </c>
      <c r="K183" s="1145">
        <v>-54</v>
      </c>
      <c r="L183" s="153" t="str">
        <f t="shared" si="10"/>
        <v>4111@</v>
      </c>
      <c r="M183" s="154" t="str">
        <f t="shared" si="11"/>
        <v>UNITES VENDUES - JETTA</v>
      </c>
      <c r="N183" s="155">
        <f>+IF(OR($Q183=Parametres!$G$2,$Q183=Parametres!$G$3),I183,C183)</f>
        <v>-40</v>
      </c>
      <c r="O183" s="1122">
        <f>+IF(OR($Q183=Parametres!$G$2,$Q183=Parametres!$G$3),J183,D183)</f>
        <v>-14</v>
      </c>
      <c r="P183" s="155">
        <f>+IF(OR($Q183=Parametres!$G$2,$Q183=Parametres!$G$3),K183,E183)</f>
        <v>-54</v>
      </c>
      <c r="Q183" s="154" t="str">
        <f t="shared" si="12"/>
        <v>10-Compte compteur</v>
      </c>
      <c r="R183" s="153" t="str">
        <f t="shared" si="13"/>
        <v>4111</v>
      </c>
      <c r="S183" s="154">
        <f t="shared" si="14"/>
        <v>0</v>
      </c>
      <c r="T183" s="156" t="str">
        <f>+VLOOKUP($L183,Data_Validation!$A:$D,1,0)</f>
        <v>4111@</v>
      </c>
      <c r="U183" s="156" t="str">
        <f>+VLOOKUP($L183,Data_Validation!$A:$D,3,0)</f>
        <v>Véhicules neufs</v>
      </c>
      <c r="V183" s="156" t="str">
        <f>+VLOOKUP($L183,Data_Validation!$A:$D,4,0)</f>
        <v>Autos détail</v>
      </c>
      <c r="W183" s="156" t="str">
        <f>+VLOOKUP($L183,Data_Validation!$A:$E,5,0)</f>
        <v>NB</v>
      </c>
      <c r="X183" s="156">
        <f>+VLOOKUP($L183,Data_Validation!$A:$F,6,0)</f>
        <v>0</v>
      </c>
    </row>
    <row r="184" spans="1:24" ht="15.75" hidden="1" customHeight="1">
      <c r="A184" s="1147" t="s">
        <v>2943</v>
      </c>
      <c r="B184" s="1147" t="s">
        <v>2944</v>
      </c>
      <c r="C184" s="1150">
        <v>-30422</v>
      </c>
      <c r="D184" s="1150">
        <v>-68890</v>
      </c>
      <c r="E184" s="1150">
        <v>-99312</v>
      </c>
      <c r="F184" s="1147" t="s">
        <v>285</v>
      </c>
      <c r="G184" s="1147" t="s">
        <v>2945</v>
      </c>
      <c r="H184" s="1145"/>
      <c r="I184" s="1149"/>
      <c r="J184" s="1149"/>
      <c r="K184" s="1149"/>
      <c r="L184" s="153" t="str">
        <f t="shared" si="10"/>
        <v>4118</v>
      </c>
      <c r="M184" s="154" t="str">
        <f t="shared" si="11"/>
        <v>VTES -TAOS</v>
      </c>
      <c r="N184" s="155">
        <f>+IF(OR($Q184=Parametres!$G$2,$Q184=Parametres!$G$3),I184,C184)</f>
        <v>-30422</v>
      </c>
      <c r="O184" s="1120">
        <f>+IF(OR($Q184=Parametres!$G$2,$Q184=Parametres!$G$3),J184,D184)</f>
        <v>-68890</v>
      </c>
      <c r="P184" s="155">
        <f>+IF(OR($Q184=Parametres!$G$2,$Q184=Parametres!$G$3),K184,E184)</f>
        <v>-99312</v>
      </c>
      <c r="Q184" s="154" t="str">
        <f t="shared" si="12"/>
        <v>5-Ventes</v>
      </c>
      <c r="R184" s="153" t="str">
        <f t="shared" si="13"/>
        <v>4117</v>
      </c>
      <c r="S184" s="154">
        <f t="shared" si="14"/>
        <v>0</v>
      </c>
      <c r="T184" s="156" t="str">
        <f>+VLOOKUP($L184,Data_Validation!$A:$D,1,0)</f>
        <v>4118</v>
      </c>
      <c r="U184" s="156" t="str">
        <f>+VLOOKUP($L184,Data_Validation!$A:$D,3,0)</f>
        <v>Véhicules neufs</v>
      </c>
      <c r="V184" s="156" t="str">
        <f>+VLOOKUP($L184,Data_Validation!$A:$D,4,0)</f>
        <v>Camions détail</v>
      </c>
      <c r="W184" s="156" t="str">
        <f>+VLOOKUP($L184,Data_Validation!$A:$E,5,0)</f>
        <v>$</v>
      </c>
      <c r="X184" s="156" t="str">
        <f>+VLOOKUP($L184,Data_Validation!$A:$F,6,0)</f>
        <v>Oui</v>
      </c>
    </row>
    <row r="185" spans="1:24" ht="15.75" hidden="1" customHeight="1">
      <c r="A185" s="1147" t="s">
        <v>2946</v>
      </c>
      <c r="B185" s="1147" t="s">
        <v>2947</v>
      </c>
      <c r="C185" s="1149"/>
      <c r="D185" s="1149"/>
      <c r="E185" s="1149"/>
      <c r="F185" s="1147" t="s">
        <v>4</v>
      </c>
      <c r="G185" s="1147" t="s">
        <v>342</v>
      </c>
      <c r="H185" s="1145"/>
      <c r="I185" s="1145">
        <v>-1</v>
      </c>
      <c r="J185" s="1145">
        <v>-2</v>
      </c>
      <c r="K185" s="1145">
        <v>-3</v>
      </c>
      <c r="L185" s="153" t="str">
        <f t="shared" si="10"/>
        <v>4118@</v>
      </c>
      <c r="M185" s="154" t="str">
        <f t="shared" si="11"/>
        <v>TAOS</v>
      </c>
      <c r="N185" s="155">
        <f>+IF(OR($Q185=Parametres!$G$2,$Q185=Parametres!$G$3),I185,C185)</f>
        <v>-1</v>
      </c>
      <c r="O185" s="1122">
        <f>+IF(OR($Q185=Parametres!$G$2,$Q185=Parametres!$G$3),J185,D185)</f>
        <v>-2</v>
      </c>
      <c r="P185" s="155">
        <f>+IF(OR($Q185=Parametres!$G$2,$Q185=Parametres!$G$3),K185,E185)</f>
        <v>-3</v>
      </c>
      <c r="Q185" s="154" t="str">
        <f t="shared" si="12"/>
        <v>10-Compte compteur</v>
      </c>
      <c r="R185" s="153" t="str">
        <f t="shared" si="13"/>
        <v>411</v>
      </c>
      <c r="S185" s="154">
        <f t="shared" si="14"/>
        <v>0</v>
      </c>
      <c r="T185" s="156" t="str">
        <f>+VLOOKUP($L185,Data_Validation!$A:$D,1,0)</f>
        <v>4118@</v>
      </c>
      <c r="U185" s="156" t="str">
        <f>+VLOOKUP($L185,Data_Validation!$A:$D,3,0)</f>
        <v>Véhicules neufs</v>
      </c>
      <c r="V185" s="156" t="str">
        <f>+VLOOKUP($L185,Data_Validation!$A:$D,4,0)</f>
        <v>Camions détail</v>
      </c>
      <c r="W185" s="156" t="str">
        <f>+VLOOKUP($L185,Data_Validation!$A:$E,5,0)</f>
        <v>NB</v>
      </c>
      <c r="X185" s="156">
        <f>+VLOOKUP($L185,Data_Validation!$A:$F,6,0)</f>
        <v>0</v>
      </c>
    </row>
    <row r="186" spans="1:24" ht="15.75" hidden="1" customHeight="1">
      <c r="A186" s="1147" t="s">
        <v>2002</v>
      </c>
      <c r="B186" s="1147" t="s">
        <v>2003</v>
      </c>
      <c r="C186" s="1150">
        <v>-2973151.01</v>
      </c>
      <c r="D186" s="1150">
        <v>-636034.31000000006</v>
      </c>
      <c r="E186" s="1150">
        <v>-3609185.32</v>
      </c>
      <c r="F186" s="1147" t="s">
        <v>285</v>
      </c>
      <c r="G186" s="1147" t="s">
        <v>2003</v>
      </c>
      <c r="H186" s="1145"/>
      <c r="I186" s="1149"/>
      <c r="J186" s="1149"/>
      <c r="K186" s="1149"/>
      <c r="L186" s="153" t="str">
        <f t="shared" si="10"/>
        <v>4119</v>
      </c>
      <c r="M186" s="154" t="str">
        <f t="shared" si="11"/>
        <v>VTE - ATLAS</v>
      </c>
      <c r="N186" s="155">
        <f>+IF(OR($Q186=Parametres!$G$2,$Q186=Parametres!$G$3),I186,C186)</f>
        <v>-2973151.01</v>
      </c>
      <c r="O186" s="1120">
        <f>+IF(OR($Q186=Parametres!$G$2,$Q186=Parametres!$G$3),J186,D186)</f>
        <v>-636034.31000000006</v>
      </c>
      <c r="P186" s="155">
        <f>+IF(OR($Q186=Parametres!$G$2,$Q186=Parametres!$G$3),K186,E186)</f>
        <v>-3609185.32</v>
      </c>
      <c r="Q186" s="154" t="str">
        <f t="shared" si="12"/>
        <v>5-Ventes</v>
      </c>
      <c r="R186" s="153" t="str">
        <f t="shared" si="13"/>
        <v>4119</v>
      </c>
      <c r="S186" s="154">
        <f t="shared" si="14"/>
        <v>0</v>
      </c>
      <c r="T186" s="156" t="str">
        <f>+VLOOKUP($L186,Data_Validation!$A:$D,1,0)</f>
        <v>4119</v>
      </c>
      <c r="U186" s="156" t="str">
        <f>+VLOOKUP($L186,Data_Validation!$A:$D,3,0)</f>
        <v>Véhicules neufs</v>
      </c>
      <c r="V186" s="156" t="str">
        <f>+VLOOKUP($L186,Data_Validation!$A:$D,4,0)</f>
        <v>Camions détail</v>
      </c>
      <c r="W186" s="156" t="str">
        <f>+VLOOKUP($L186,Data_Validation!$A:$E,5,0)</f>
        <v>$</v>
      </c>
      <c r="X186" s="156" t="str">
        <f>+VLOOKUP($L186,Data_Validation!$A:$F,6,0)</f>
        <v>Oui</v>
      </c>
    </row>
    <row r="187" spans="1:24" ht="15" hidden="1" customHeight="1">
      <c r="A187" s="1147" t="s">
        <v>2498</v>
      </c>
      <c r="B187" s="1147" t="s">
        <v>2499</v>
      </c>
      <c r="C187" s="1149"/>
      <c r="D187" s="1149"/>
      <c r="E187" s="1149"/>
      <c r="F187" s="1147" t="s">
        <v>4</v>
      </c>
      <c r="G187" s="1147" t="s">
        <v>2003</v>
      </c>
      <c r="H187" s="1145"/>
      <c r="I187" s="1145">
        <v>-57</v>
      </c>
      <c r="J187" s="1145">
        <v>-12</v>
      </c>
      <c r="K187" s="1145">
        <v>-69</v>
      </c>
      <c r="L187" s="153" t="str">
        <f t="shared" si="10"/>
        <v>4119@</v>
      </c>
      <c r="M187" s="154" t="str">
        <f t="shared" si="11"/>
        <v># DE VTE - ATLAS</v>
      </c>
      <c r="N187" s="155">
        <f>+IF(OR($Q187=Parametres!$G$2,$Q187=Parametres!$G$3),I187,C187)</f>
        <v>-57</v>
      </c>
      <c r="O187" s="1122">
        <f>+IF(OR($Q187=Parametres!$G$2,$Q187=Parametres!$G$3),J187,D187)</f>
        <v>-12</v>
      </c>
      <c r="P187" s="155">
        <f>+IF(OR($Q187=Parametres!$G$2,$Q187=Parametres!$G$3),K187,E187)</f>
        <v>-69</v>
      </c>
      <c r="Q187" s="154" t="str">
        <f t="shared" si="12"/>
        <v>10-Compte compteur</v>
      </c>
      <c r="R187" s="153" t="str">
        <f t="shared" si="13"/>
        <v>4119</v>
      </c>
      <c r="S187" s="154">
        <f t="shared" si="14"/>
        <v>0</v>
      </c>
      <c r="T187" s="156" t="str">
        <f>+VLOOKUP($L187,Data_Validation!$A:$D,1,0)</f>
        <v>4119@</v>
      </c>
      <c r="U187" s="156" t="str">
        <f>+VLOOKUP($L187,Data_Validation!$A:$D,3,0)</f>
        <v>Véhicules neufs</v>
      </c>
      <c r="V187" s="156" t="str">
        <f>+VLOOKUP($L187,Data_Validation!$A:$D,4,0)</f>
        <v>Camions détail</v>
      </c>
      <c r="W187" s="156" t="str">
        <f>+VLOOKUP($L187,Data_Validation!$A:$E,5,0)</f>
        <v>NB</v>
      </c>
      <c r="X187" s="156">
        <f>+VLOOKUP($L187,Data_Validation!$A:$F,6,0)</f>
        <v>0</v>
      </c>
    </row>
    <row r="188" spans="1:24" ht="15" hidden="1" customHeight="1">
      <c r="A188" s="1147" t="s">
        <v>2905</v>
      </c>
      <c r="B188" s="1147" t="s">
        <v>2906</v>
      </c>
      <c r="C188" s="1150">
        <v>-276857.03999999998</v>
      </c>
      <c r="D188" s="1150">
        <v>0</v>
      </c>
      <c r="E188" s="1150">
        <v>-276857.03999999998</v>
      </c>
      <c r="F188" s="1147" t="s">
        <v>285</v>
      </c>
      <c r="G188" s="1147" t="s">
        <v>2906</v>
      </c>
      <c r="H188" s="1145"/>
      <c r="I188" s="1149"/>
      <c r="J188" s="1149"/>
      <c r="K188" s="1149"/>
      <c r="L188" s="153" t="str">
        <f t="shared" si="10"/>
        <v>4121</v>
      </c>
      <c r="M188" s="154" t="str">
        <f t="shared" si="11"/>
        <v>VTES -VTE - ATLAS CROSS SPORT</v>
      </c>
      <c r="N188" s="155">
        <f>+IF(OR($Q188=Parametres!$G$2,$Q188=Parametres!$G$3),I188,C188)</f>
        <v>-276857.03999999998</v>
      </c>
      <c r="O188" s="1122">
        <f>+IF(OR($Q188=Parametres!$G$2,$Q188=Parametres!$G$3),J188,D188)</f>
        <v>0</v>
      </c>
      <c r="P188" s="155">
        <f>+IF(OR($Q188=Parametres!$G$2,$Q188=Parametres!$G$3),K188,E188)</f>
        <v>-276857.03999999998</v>
      </c>
      <c r="Q188" s="154" t="str">
        <f t="shared" si="12"/>
        <v>5-Ventes</v>
      </c>
      <c r="R188" s="153" t="str">
        <f t="shared" si="13"/>
        <v>4121</v>
      </c>
      <c r="S188" s="154">
        <f t="shared" si="14"/>
        <v>0</v>
      </c>
      <c r="T188" s="156" t="str">
        <f>+VLOOKUP($L188,Data_Validation!$A:$D,1,0)</f>
        <v>4121</v>
      </c>
      <c r="U188" s="156" t="str">
        <f>+VLOOKUP($L188,Data_Validation!$A:$D,3,0)</f>
        <v>Véhicules neufs</v>
      </c>
      <c r="V188" s="156" t="str">
        <f>+VLOOKUP($L188,Data_Validation!$A:$D,4,0)</f>
        <v>Camions détail</v>
      </c>
      <c r="W188" s="156" t="str">
        <f>+VLOOKUP($L188,Data_Validation!$A:$E,5,0)</f>
        <v>$</v>
      </c>
      <c r="X188" s="156" t="str">
        <f>+VLOOKUP($L188,Data_Validation!$A:$F,6,0)</f>
        <v>oui</v>
      </c>
    </row>
    <row r="189" spans="1:24" ht="15" hidden="1" customHeight="1">
      <c r="A189" s="1147" t="s">
        <v>2907</v>
      </c>
      <c r="B189" s="1147" t="s">
        <v>2908</v>
      </c>
      <c r="C189" s="1149"/>
      <c r="D189" s="1149"/>
      <c r="E189" s="1149"/>
      <c r="F189" s="1147" t="s">
        <v>4</v>
      </c>
      <c r="G189" s="1147" t="s">
        <v>2906</v>
      </c>
      <c r="H189" s="1145"/>
      <c r="I189" s="1145">
        <v>-6</v>
      </c>
      <c r="J189" s="1145">
        <v>0</v>
      </c>
      <c r="K189" s="1145">
        <v>-6</v>
      </c>
      <c r="L189" s="153" t="str">
        <f t="shared" si="10"/>
        <v>4121@</v>
      </c>
      <c r="M189" s="154" t="str">
        <f t="shared" si="11"/>
        <v># DE VTE - ATLAS CROSS SPORT</v>
      </c>
      <c r="N189" s="155">
        <f>+IF(OR($Q189=Parametres!$G$2,$Q189=Parametres!$G$3),I189,C189)</f>
        <v>-6</v>
      </c>
      <c r="O189" s="1122">
        <f>+IF(OR($Q189=Parametres!$G$2,$Q189=Parametres!$G$3),J189,D189)</f>
        <v>0</v>
      </c>
      <c r="P189" s="155">
        <f>+IF(OR($Q189=Parametres!$G$2,$Q189=Parametres!$G$3),K189,E189)</f>
        <v>-6</v>
      </c>
      <c r="Q189" s="154" t="str">
        <f t="shared" si="12"/>
        <v>10-Compte compteur</v>
      </c>
      <c r="R189" s="153" t="str">
        <f t="shared" si="13"/>
        <v>4121</v>
      </c>
      <c r="S189" s="154">
        <f t="shared" si="14"/>
        <v>0</v>
      </c>
      <c r="T189" s="156" t="str">
        <f>+VLOOKUP($L189,Data_Validation!$A:$D,1,0)</f>
        <v>4121@</v>
      </c>
      <c r="U189" s="156" t="str">
        <f>+VLOOKUP($L189,Data_Validation!$A:$D,3,0)</f>
        <v>Véhicules neufs</v>
      </c>
      <c r="V189" s="156" t="str">
        <f>+VLOOKUP($L189,Data_Validation!$A:$D,4,0)</f>
        <v>Camions détail</v>
      </c>
      <c r="W189" s="156" t="str">
        <f>+VLOOKUP($L189,Data_Validation!$A:$E,5,0)</f>
        <v>NB</v>
      </c>
      <c r="X189" s="156">
        <f>+VLOOKUP($L189,Data_Validation!$A:$F,6,0)</f>
        <v>0</v>
      </c>
    </row>
    <row r="190" spans="1:24" ht="15" hidden="1" customHeight="1">
      <c r="A190" s="1147" t="s">
        <v>2030</v>
      </c>
      <c r="B190" s="1147" t="s">
        <v>2031</v>
      </c>
      <c r="C190" s="1150">
        <v>-692712.11</v>
      </c>
      <c r="D190" s="1150">
        <v>-118438.22</v>
      </c>
      <c r="E190" s="1150">
        <v>-811150.33</v>
      </c>
      <c r="F190" s="1147" t="s">
        <v>285</v>
      </c>
      <c r="G190" s="1147" t="s">
        <v>2031</v>
      </c>
      <c r="H190" s="1145"/>
      <c r="I190" s="1149"/>
      <c r="J190" s="1149"/>
      <c r="K190" s="1149"/>
      <c r="L190" s="153" t="str">
        <f t="shared" si="10"/>
        <v>4127</v>
      </c>
      <c r="M190" s="154" t="str">
        <f t="shared" si="11"/>
        <v>VTE - GOLF GTI</v>
      </c>
      <c r="N190" s="155">
        <f>+IF(OR($Q190=Parametres!$G$2,$Q190=Parametres!$G$3),I190,C190)</f>
        <v>-692712.11</v>
      </c>
      <c r="O190" s="1122">
        <f>+IF(OR($Q190=Parametres!$G$2,$Q190=Parametres!$G$3),J190,D190)</f>
        <v>-118438.22</v>
      </c>
      <c r="P190" s="155">
        <f>+IF(OR($Q190=Parametres!$G$2,$Q190=Parametres!$G$3),K190,E190)</f>
        <v>-811150.33</v>
      </c>
      <c r="Q190" s="154" t="str">
        <f t="shared" si="12"/>
        <v>5-Ventes</v>
      </c>
      <c r="R190" s="153" t="str">
        <f t="shared" si="13"/>
        <v>4127</v>
      </c>
      <c r="S190" s="154">
        <f t="shared" si="14"/>
        <v>0</v>
      </c>
      <c r="T190" s="156" t="str">
        <f>+VLOOKUP($L190,Data_Validation!$A:$D,1,0)</f>
        <v>4127</v>
      </c>
      <c r="U190" s="156" t="str">
        <f>+VLOOKUP($L190,Data_Validation!$A:$D,3,0)</f>
        <v>Véhicules neufs</v>
      </c>
      <c r="V190" s="156" t="str">
        <f>+VLOOKUP($L190,Data_Validation!$A:$D,4,0)</f>
        <v>Autos détail</v>
      </c>
      <c r="W190" s="156" t="str">
        <f>+VLOOKUP($L190,Data_Validation!$A:$E,5,0)</f>
        <v>$</v>
      </c>
      <c r="X190" s="156" t="str">
        <f>+VLOOKUP($L190,Data_Validation!$A:$F,6,0)</f>
        <v>Oui</v>
      </c>
    </row>
    <row r="191" spans="1:24" ht="15" hidden="1" customHeight="1">
      <c r="A191" s="1147" t="s">
        <v>2500</v>
      </c>
      <c r="B191" s="1147" t="s">
        <v>2501</v>
      </c>
      <c r="C191" s="1149"/>
      <c r="D191" s="1149"/>
      <c r="E191" s="1149"/>
      <c r="F191" s="1147" t="s">
        <v>4</v>
      </c>
      <c r="G191" s="1147" t="s">
        <v>2031</v>
      </c>
      <c r="H191" s="1145"/>
      <c r="I191" s="1145">
        <v>-18</v>
      </c>
      <c r="J191" s="1145">
        <v>-3</v>
      </c>
      <c r="K191" s="1145">
        <v>-21</v>
      </c>
      <c r="L191" s="153" t="str">
        <f t="shared" si="10"/>
        <v>4127@</v>
      </c>
      <c r="M191" s="154" t="str">
        <f t="shared" si="11"/>
        <v># DE VENTE - GOLF GTI</v>
      </c>
      <c r="N191" s="155">
        <f>+IF(OR($Q191=Parametres!$G$2,$Q191=Parametres!$G$3),I191,C191)</f>
        <v>-18</v>
      </c>
      <c r="O191" s="1122">
        <f>+IF(OR($Q191=Parametres!$G$2,$Q191=Parametres!$G$3),J191,D191)</f>
        <v>-3</v>
      </c>
      <c r="P191" s="155">
        <f>+IF(OR($Q191=Parametres!$G$2,$Q191=Parametres!$G$3),K191,E191)</f>
        <v>-21</v>
      </c>
      <c r="Q191" s="154" t="str">
        <f t="shared" si="12"/>
        <v>10-Compte compteur</v>
      </c>
      <c r="R191" s="153" t="str">
        <f t="shared" si="13"/>
        <v>4127</v>
      </c>
      <c r="S191" s="154">
        <f t="shared" si="14"/>
        <v>0</v>
      </c>
      <c r="T191" s="156" t="str">
        <f>+VLOOKUP($L191,Data_Validation!$A:$D,1,0)</f>
        <v>4127@</v>
      </c>
      <c r="U191" s="156" t="str">
        <f>+VLOOKUP($L191,Data_Validation!$A:$D,3,0)</f>
        <v>Véhicules neufs</v>
      </c>
      <c r="V191" s="156" t="str">
        <f>+VLOOKUP($L191,Data_Validation!$A:$D,4,0)</f>
        <v>Autos détail</v>
      </c>
      <c r="W191" s="156" t="str">
        <f>+VLOOKUP($L191,Data_Validation!$A:$E,5,0)</f>
        <v>NB</v>
      </c>
      <c r="X191" s="156">
        <f>+VLOOKUP($L191,Data_Validation!$A:$F,6,0)</f>
        <v>0</v>
      </c>
    </row>
    <row r="192" spans="1:24" ht="15" hidden="1" customHeight="1">
      <c r="A192" s="1147" t="s">
        <v>1998</v>
      </c>
      <c r="B192" s="1147" t="s">
        <v>1999</v>
      </c>
      <c r="C192" s="1150">
        <v>-5404681.3700000001</v>
      </c>
      <c r="D192" s="1150">
        <v>-884795.67</v>
      </c>
      <c r="E192" s="1150">
        <v>-6289477.04</v>
      </c>
      <c r="F192" s="1147" t="s">
        <v>285</v>
      </c>
      <c r="G192" s="1147" t="s">
        <v>1999</v>
      </c>
      <c r="H192" s="1145"/>
      <c r="I192" s="1149"/>
      <c r="J192" s="1149"/>
      <c r="K192" s="1149"/>
      <c r="L192" s="153" t="str">
        <f t="shared" si="10"/>
        <v>4131</v>
      </c>
      <c r="M192" s="154" t="str">
        <f t="shared" si="11"/>
        <v>VTE - TIGUAN LWB</v>
      </c>
      <c r="N192" s="155">
        <f>+IF(OR($Q192=Parametres!$G$2,$Q192=Parametres!$G$3),I192,C192)</f>
        <v>-5404681.3700000001</v>
      </c>
      <c r="O192" s="1122">
        <f>+IF(OR($Q192=Parametres!$G$2,$Q192=Parametres!$G$3),J192,D192)</f>
        <v>-884795.67</v>
      </c>
      <c r="P192" s="155">
        <f>+IF(OR($Q192=Parametres!$G$2,$Q192=Parametres!$G$3),K192,E192)</f>
        <v>-6289477.04</v>
      </c>
      <c r="Q192" s="154" t="str">
        <f t="shared" si="12"/>
        <v>5-Ventes</v>
      </c>
      <c r="R192" s="153" t="str">
        <f t="shared" si="13"/>
        <v>4131</v>
      </c>
      <c r="S192" s="154">
        <f t="shared" si="14"/>
        <v>0</v>
      </c>
      <c r="T192" s="156" t="str">
        <f>+VLOOKUP($L192,Data_Validation!$A:$D,1,0)</f>
        <v>4131</v>
      </c>
      <c r="U192" s="156" t="str">
        <f>+VLOOKUP($L192,Data_Validation!$A:$D,3,0)</f>
        <v>Véhicules neufs</v>
      </c>
      <c r="V192" s="156" t="str">
        <f>+VLOOKUP($L192,Data_Validation!$A:$D,4,0)</f>
        <v>Camions détail</v>
      </c>
      <c r="W192" s="156" t="str">
        <f>+VLOOKUP($L192,Data_Validation!$A:$E,5,0)</f>
        <v>$</v>
      </c>
      <c r="X192" s="156" t="str">
        <f>+VLOOKUP($L192,Data_Validation!$A:$F,6,0)</f>
        <v>Oui</v>
      </c>
    </row>
    <row r="193" spans="1:24" ht="15" hidden="1" customHeight="1">
      <c r="A193" s="1147" t="s">
        <v>2502</v>
      </c>
      <c r="B193" s="1147" t="s">
        <v>2503</v>
      </c>
      <c r="C193" s="1149"/>
      <c r="D193" s="1149"/>
      <c r="E193" s="1149"/>
      <c r="F193" s="1147" t="s">
        <v>4</v>
      </c>
      <c r="G193" s="1147" t="s">
        <v>1999</v>
      </c>
      <c r="H193" s="1145"/>
      <c r="I193" s="1145">
        <v>-138</v>
      </c>
      <c r="J193" s="1145">
        <v>-23</v>
      </c>
      <c r="K193" s="1145">
        <v>-161</v>
      </c>
      <c r="L193" s="153" t="str">
        <f t="shared" si="10"/>
        <v>4131@</v>
      </c>
      <c r="M193" s="154" t="str">
        <f t="shared" si="11"/>
        <v># DE VTE - TIGUAN LWB</v>
      </c>
      <c r="N193" s="155">
        <f>+IF(OR($Q193=Parametres!$G$2,$Q193=Parametres!$G$3),I193,C193)</f>
        <v>-138</v>
      </c>
      <c r="O193" s="1122">
        <f>+IF(OR($Q193=Parametres!$G$2,$Q193=Parametres!$G$3),J193,D193)</f>
        <v>-23</v>
      </c>
      <c r="P193" s="155">
        <f>+IF(OR($Q193=Parametres!$G$2,$Q193=Parametres!$G$3),K193,E193)</f>
        <v>-161</v>
      </c>
      <c r="Q193" s="154" t="str">
        <f t="shared" si="12"/>
        <v>10-Compte compteur</v>
      </c>
      <c r="R193" s="153" t="str">
        <f t="shared" si="13"/>
        <v>4131</v>
      </c>
      <c r="S193" s="154">
        <f t="shared" si="14"/>
        <v>0</v>
      </c>
      <c r="T193" s="156" t="str">
        <f>+VLOOKUP($L193,Data_Validation!$A:$D,1,0)</f>
        <v>4131@</v>
      </c>
      <c r="U193" s="156" t="str">
        <f>+VLOOKUP($L193,Data_Validation!$A:$D,3,0)</f>
        <v>Véhicules neufs</v>
      </c>
      <c r="V193" s="156" t="str">
        <f>+VLOOKUP($L193,Data_Validation!$A:$D,4,0)</f>
        <v>Camions détail</v>
      </c>
      <c r="W193" s="156" t="str">
        <f>+VLOOKUP($L193,Data_Validation!$A:$E,5,0)</f>
        <v>NB</v>
      </c>
      <c r="X193" s="156">
        <f>+VLOOKUP($L193,Data_Validation!$A:$F,6,0)</f>
        <v>0</v>
      </c>
    </row>
    <row r="194" spans="1:24" ht="15.75" hidden="1" customHeight="1">
      <c r="A194" s="1147" t="s">
        <v>2028</v>
      </c>
      <c r="B194" s="1147" t="s">
        <v>2029</v>
      </c>
      <c r="C194" s="1150">
        <v>-354962.21</v>
      </c>
      <c r="D194" s="1150">
        <v>0</v>
      </c>
      <c r="E194" s="1150">
        <v>-354962.21</v>
      </c>
      <c r="F194" s="1147" t="s">
        <v>285</v>
      </c>
      <c r="G194" s="1147" t="s">
        <v>2029</v>
      </c>
      <c r="H194" s="1145"/>
      <c r="I194" s="1149"/>
      <c r="J194" s="1149"/>
      <c r="K194" s="1149"/>
      <c r="L194" s="153" t="str">
        <f t="shared" ref="L194:L257" si="15">+B194</f>
        <v>4135</v>
      </c>
      <c r="M194" s="154" t="str">
        <f t="shared" ref="M194:M257" si="16">+A194</f>
        <v>VTE - EGOLF</v>
      </c>
      <c r="N194" s="155">
        <f>+IF(OR($Q194=Parametres!$G$2,$Q194=Parametres!$G$3),I194,C194)</f>
        <v>-354962.21</v>
      </c>
      <c r="O194" s="1122">
        <f>+IF(OR($Q194=Parametres!$G$2,$Q194=Parametres!$G$3),J194,D194)</f>
        <v>0</v>
      </c>
      <c r="P194" s="155">
        <f>+IF(OR($Q194=Parametres!$G$2,$Q194=Parametres!$G$3),K194,E194)</f>
        <v>-354962.21</v>
      </c>
      <c r="Q194" s="154" t="str">
        <f t="shared" ref="Q194:Q257" si="17">+F194</f>
        <v>5-Ventes</v>
      </c>
      <c r="R194" s="153" t="str">
        <f t="shared" ref="R194:R257" si="18">+G194</f>
        <v>4135</v>
      </c>
      <c r="S194" s="154">
        <f t="shared" ref="S194:S257" si="19">+H194</f>
        <v>0</v>
      </c>
      <c r="T194" s="156" t="str">
        <f>+VLOOKUP($L194,Data_Validation!$A:$D,1,0)</f>
        <v>4135</v>
      </c>
      <c r="U194" s="156" t="str">
        <f>+VLOOKUP($L194,Data_Validation!$A:$D,3,0)</f>
        <v>Véhicules neufs</v>
      </c>
      <c r="V194" s="156" t="str">
        <f>+VLOOKUP($L194,Data_Validation!$A:$D,4,0)</f>
        <v>Autos détail</v>
      </c>
      <c r="W194" s="156" t="str">
        <f>+VLOOKUP($L194,Data_Validation!$A:$E,5,0)</f>
        <v>$</v>
      </c>
      <c r="X194" s="156" t="str">
        <f>+VLOOKUP($L194,Data_Validation!$A:$F,6,0)</f>
        <v>Oui</v>
      </c>
    </row>
    <row r="195" spans="1:24" ht="15" hidden="1" customHeight="1">
      <c r="A195" s="1147" t="s">
        <v>2504</v>
      </c>
      <c r="B195" s="1147" t="s">
        <v>2505</v>
      </c>
      <c r="C195" s="1149"/>
      <c r="D195" s="1149"/>
      <c r="E195" s="1149"/>
      <c r="F195" s="1147" t="s">
        <v>4</v>
      </c>
      <c r="G195" s="1147" t="s">
        <v>2506</v>
      </c>
      <c r="H195" s="1145"/>
      <c r="I195" s="1145">
        <v>-10</v>
      </c>
      <c r="J195" s="1145">
        <v>0</v>
      </c>
      <c r="K195" s="1145">
        <v>-10</v>
      </c>
      <c r="L195" s="153" t="str">
        <f t="shared" si="15"/>
        <v>4135@</v>
      </c>
      <c r="M195" s="154" t="str">
        <f t="shared" si="16"/>
        <v>UNITES VENDUES - EGOLF</v>
      </c>
      <c r="N195" s="155">
        <f>+IF(OR($Q195=Parametres!$G$2,$Q195=Parametres!$G$3),I195,C195)</f>
        <v>-10</v>
      </c>
      <c r="O195" s="1122">
        <f>+IF(OR($Q195=Parametres!$G$2,$Q195=Parametres!$G$3),J195,D195)</f>
        <v>0</v>
      </c>
      <c r="P195" s="155">
        <f>+IF(OR($Q195=Parametres!$G$2,$Q195=Parametres!$G$3),K195,E195)</f>
        <v>-10</v>
      </c>
      <c r="Q195" s="154" t="str">
        <f t="shared" si="17"/>
        <v>10-Compte compteur</v>
      </c>
      <c r="R195" s="153" t="str">
        <f t="shared" si="18"/>
        <v>84135</v>
      </c>
      <c r="S195" s="154">
        <f t="shared" si="19"/>
        <v>0</v>
      </c>
      <c r="T195" s="156" t="str">
        <f>+VLOOKUP($L195,Data_Validation!$A:$D,1,0)</f>
        <v>4135@</v>
      </c>
      <c r="U195" s="156" t="str">
        <f>+VLOOKUP($L195,Data_Validation!$A:$D,3,0)</f>
        <v>Véhicules neufs</v>
      </c>
      <c r="V195" s="156" t="str">
        <f>+VLOOKUP($L195,Data_Validation!$A:$D,4,0)</f>
        <v>Autos détail</v>
      </c>
      <c r="W195" s="156" t="str">
        <f>+VLOOKUP($L195,Data_Validation!$A:$E,5,0)</f>
        <v>NB</v>
      </c>
      <c r="X195" s="156">
        <f>+VLOOKUP($L195,Data_Validation!$A:$F,6,0)</f>
        <v>0</v>
      </c>
    </row>
    <row r="196" spans="1:24" ht="15" hidden="1" customHeight="1">
      <c r="A196" s="1147" t="s">
        <v>2441</v>
      </c>
      <c r="B196" s="1147" t="s">
        <v>2442</v>
      </c>
      <c r="C196" s="1150">
        <v>-665370</v>
      </c>
      <c r="D196" s="1145">
        <v>0</v>
      </c>
      <c r="E196" s="1150">
        <v>-665370</v>
      </c>
      <c r="F196" s="1147" t="s">
        <v>285</v>
      </c>
      <c r="G196" s="1147" t="s">
        <v>2442</v>
      </c>
      <c r="H196" s="1145"/>
      <c r="I196" s="1149"/>
      <c r="J196" s="1149"/>
      <c r="K196" s="1149"/>
      <c r="L196" s="153" t="str">
        <f t="shared" si="15"/>
        <v>4137</v>
      </c>
      <c r="M196" s="154" t="str">
        <f t="shared" si="16"/>
        <v>VTE - VW-FLOTTE/VENTES ENTR/EMPLOYE/VEH DEMON</v>
      </c>
      <c r="N196" s="155">
        <f>+IF(OR($Q196=Parametres!$G$2,$Q196=Parametres!$G$3),I196,C196)</f>
        <v>-665370</v>
      </c>
      <c r="O196" s="1122">
        <f>+IF(OR($Q196=Parametres!$G$2,$Q196=Parametres!$G$3),J196,D196)</f>
        <v>0</v>
      </c>
      <c r="P196" s="155">
        <f>+IF(OR($Q196=Parametres!$G$2,$Q196=Parametres!$G$3),K196,E196)</f>
        <v>-665370</v>
      </c>
      <c r="Q196" s="154" t="str">
        <f t="shared" si="17"/>
        <v>5-Ventes</v>
      </c>
      <c r="R196" s="153" t="str">
        <f t="shared" si="18"/>
        <v>4137</v>
      </c>
      <c r="S196" s="154">
        <f t="shared" si="19"/>
        <v>0</v>
      </c>
      <c r="T196" s="156" t="str">
        <f>+VLOOKUP($L196,Data_Validation!$A:$D,1,0)</f>
        <v>4137</v>
      </c>
      <c r="U196" s="156" t="str">
        <f>+VLOOKUP($L196,Data_Validation!$A:$D,3,0)</f>
        <v>Véhicules neufs</v>
      </c>
      <c r="V196" s="156" t="str">
        <f>+VLOOKUP($L196,Data_Validation!$A:$D,4,0)</f>
        <v>Flottes</v>
      </c>
      <c r="W196" s="156" t="str">
        <f>+VLOOKUP($L196,Data_Validation!$A:$E,5,0)</f>
        <v>$</v>
      </c>
      <c r="X196" s="156" t="str">
        <f>+VLOOKUP($L196,Data_Validation!$A:$F,6,0)</f>
        <v>Oui</v>
      </c>
    </row>
    <row r="197" spans="1:24" ht="15" hidden="1" customHeight="1">
      <c r="A197" s="1147" t="s">
        <v>2507</v>
      </c>
      <c r="B197" s="1147" t="s">
        <v>2508</v>
      </c>
      <c r="C197" s="1149"/>
      <c r="D197" s="1149"/>
      <c r="E197" s="1149"/>
      <c r="F197" s="1147" t="s">
        <v>4</v>
      </c>
      <c r="G197" s="1147" t="s">
        <v>2442</v>
      </c>
      <c r="H197" s="1145"/>
      <c r="I197" s="1145">
        <v>-18</v>
      </c>
      <c r="J197" s="1145">
        <v>0</v>
      </c>
      <c r="K197" s="1145">
        <v>-18</v>
      </c>
      <c r="L197" s="153" t="str">
        <f t="shared" si="15"/>
        <v>4137@</v>
      </c>
      <c r="M197" s="154" t="str">
        <f t="shared" si="16"/>
        <v>VW FLOTTE/VENTE ENTR/EMPLOYE/VEH DEMONST</v>
      </c>
      <c r="N197" s="155">
        <f>+IF(OR($Q197=Parametres!$G$2,$Q197=Parametres!$G$3),I197,C197)</f>
        <v>-18</v>
      </c>
      <c r="O197" s="1120">
        <f>+IF(OR($Q197=Parametres!$G$2,$Q197=Parametres!$G$3),J197,D197)</f>
        <v>0</v>
      </c>
      <c r="P197" s="155">
        <f>+IF(OR($Q197=Parametres!$G$2,$Q197=Parametres!$G$3),K197,E197)</f>
        <v>-18</v>
      </c>
      <c r="Q197" s="154" t="str">
        <f t="shared" si="17"/>
        <v>10-Compte compteur</v>
      </c>
      <c r="R197" s="153" t="str">
        <f t="shared" si="18"/>
        <v>4137</v>
      </c>
      <c r="S197" s="154">
        <f t="shared" si="19"/>
        <v>0</v>
      </c>
      <c r="T197" s="156" t="str">
        <f>+VLOOKUP($L197,Data_Validation!$A:$D,1,0)</f>
        <v>4137@</v>
      </c>
      <c r="U197" s="156" t="str">
        <f>+VLOOKUP($L197,Data_Validation!$A:$D,3,0)</f>
        <v>Véhicules neufs</v>
      </c>
      <c r="V197" s="156" t="str">
        <f>+VLOOKUP($L197,Data_Validation!$A:$D,4,0)</f>
        <v>Flottes</v>
      </c>
      <c r="W197" s="156" t="str">
        <f>+VLOOKUP($L197,Data_Validation!$A:$E,5,0)</f>
        <v>NB</v>
      </c>
      <c r="X197" s="156">
        <f>+VLOOKUP($L197,Data_Validation!$A:$F,6,0)</f>
        <v>0</v>
      </c>
    </row>
    <row r="198" spans="1:24" ht="15" hidden="1" customHeight="1">
      <c r="A198" s="1147" t="s">
        <v>2004</v>
      </c>
      <c r="B198" s="1147" t="s">
        <v>2005</v>
      </c>
      <c r="C198" s="1150">
        <v>-1351342.63</v>
      </c>
      <c r="D198" s="1150">
        <v>-188298.34</v>
      </c>
      <c r="E198" s="1150">
        <v>-1539640.97</v>
      </c>
      <c r="F198" s="1147" t="s">
        <v>285</v>
      </c>
      <c r="G198" s="1147" t="s">
        <v>2005</v>
      </c>
      <c r="H198" s="1145"/>
      <c r="I198" s="1149"/>
      <c r="J198" s="1149"/>
      <c r="K198" s="1149"/>
      <c r="L198" s="153" t="str">
        <f t="shared" si="15"/>
        <v>4139</v>
      </c>
      <c r="M198" s="154" t="str">
        <f t="shared" si="16"/>
        <v>VTE - VW FLOTTE/VENTE ENTR/EMPLOYE/VEH DEMONS</v>
      </c>
      <c r="N198" s="155">
        <f>+IF(OR($Q198=Parametres!$G$2,$Q198=Parametres!$G$3),I198,C198)</f>
        <v>-1351342.63</v>
      </c>
      <c r="O198" s="1122">
        <f>+IF(OR($Q198=Parametres!$G$2,$Q198=Parametres!$G$3),J198,D198)</f>
        <v>-188298.34</v>
      </c>
      <c r="P198" s="155">
        <f>+IF(OR($Q198=Parametres!$G$2,$Q198=Parametres!$G$3),K198,E198)</f>
        <v>-1539640.97</v>
      </c>
      <c r="Q198" s="154" t="str">
        <f t="shared" si="17"/>
        <v>5-Ventes</v>
      </c>
      <c r="R198" s="153" t="str">
        <f t="shared" si="18"/>
        <v>4139</v>
      </c>
      <c r="S198" s="154">
        <f t="shared" si="19"/>
        <v>0</v>
      </c>
      <c r="T198" s="156" t="str">
        <f>+VLOOKUP($L198,Data_Validation!$A:$D,1,0)</f>
        <v>4139</v>
      </c>
      <c r="U198" s="156" t="str">
        <f>+VLOOKUP($L198,Data_Validation!$A:$D,3,0)</f>
        <v>Véhicules neufs</v>
      </c>
      <c r="V198" s="156" t="str">
        <f>+VLOOKUP($L198,Data_Validation!$A:$D,4,0)</f>
        <v>Ex-Démos et courtoisies</v>
      </c>
      <c r="W198" s="156" t="str">
        <f>+VLOOKUP($L198,Data_Validation!$A:$E,5,0)</f>
        <v>$</v>
      </c>
      <c r="X198" s="156" t="str">
        <f>+VLOOKUP($L198,Data_Validation!$A:$F,6,0)</f>
        <v>Oui</v>
      </c>
    </row>
    <row r="199" spans="1:24" ht="15.75" hidden="1" customHeight="1">
      <c r="A199" s="1147" t="s">
        <v>2509</v>
      </c>
      <c r="B199" s="1147" t="s">
        <v>2510</v>
      </c>
      <c r="C199" s="1149"/>
      <c r="D199" s="1149"/>
      <c r="E199" s="1149"/>
      <c r="F199" s="1147" t="s">
        <v>4</v>
      </c>
      <c r="G199" s="1147" t="s">
        <v>2005</v>
      </c>
      <c r="H199" s="1145"/>
      <c r="I199" s="1145">
        <v>-40</v>
      </c>
      <c r="J199" s="1145">
        <v>-6</v>
      </c>
      <c r="K199" s="1145">
        <v>-46</v>
      </c>
      <c r="L199" s="153" t="str">
        <f t="shared" si="15"/>
        <v>4139@</v>
      </c>
      <c r="M199" s="154" t="str">
        <f t="shared" si="16"/>
        <v>VENTES A PARK AVENUE LOCATION</v>
      </c>
      <c r="N199" s="155">
        <f>+IF(OR($Q199=Parametres!$G$2,$Q199=Parametres!$G$3),I199,C199)</f>
        <v>-40</v>
      </c>
      <c r="O199" s="1122">
        <f>+IF(OR($Q199=Parametres!$G$2,$Q199=Parametres!$G$3),J199,D199)</f>
        <v>-6</v>
      </c>
      <c r="P199" s="155">
        <f>+IF(OR($Q199=Parametres!$G$2,$Q199=Parametres!$G$3),K199,E199)</f>
        <v>-46</v>
      </c>
      <c r="Q199" s="154" t="str">
        <f t="shared" si="17"/>
        <v>10-Compte compteur</v>
      </c>
      <c r="R199" s="153" t="str">
        <f t="shared" si="18"/>
        <v>4139</v>
      </c>
      <c r="S199" s="154">
        <f t="shared" si="19"/>
        <v>0</v>
      </c>
      <c r="T199" s="156" t="str">
        <f>+VLOOKUP($L199,Data_Validation!$A:$D,1,0)</f>
        <v>4139@</v>
      </c>
      <c r="U199" s="156" t="str">
        <f>+VLOOKUP($L199,Data_Validation!$A:$D,3,0)</f>
        <v>Véhicules neufs</v>
      </c>
      <c r="V199" s="156" t="str">
        <f>+VLOOKUP($L199,Data_Validation!$A:$D,4,0)</f>
        <v>Ex-Démos et courtoisies</v>
      </c>
      <c r="W199" s="156" t="str">
        <f>+VLOOKUP($L199,Data_Validation!$A:$E,5,0)</f>
        <v>NB</v>
      </c>
      <c r="X199" s="156">
        <f>+VLOOKUP($L199,Data_Validation!$A:$F,6,0)</f>
        <v>0</v>
      </c>
    </row>
    <row r="200" spans="1:24" ht="15" hidden="1" customHeight="1">
      <c r="A200" s="1147" t="s">
        <v>2000</v>
      </c>
      <c r="B200" s="1147" t="s">
        <v>2001</v>
      </c>
      <c r="C200" s="1150">
        <v>-4352659.96</v>
      </c>
      <c r="D200" s="1150">
        <v>-989473.91</v>
      </c>
      <c r="E200" s="1150">
        <v>-5342133.87</v>
      </c>
      <c r="F200" s="1147" t="s">
        <v>285</v>
      </c>
      <c r="G200" s="1147" t="s">
        <v>2001</v>
      </c>
      <c r="H200" s="1145"/>
      <c r="I200" s="1149"/>
      <c r="J200" s="1149"/>
      <c r="K200" s="1149"/>
      <c r="L200" s="153" t="str">
        <f t="shared" si="15"/>
        <v>4201</v>
      </c>
      <c r="M200" s="154" t="str">
        <f t="shared" si="16"/>
        <v>VTE - VEH.USAGE VW DETAIL CERTIFIE</v>
      </c>
      <c r="N200" s="155">
        <f>+IF(OR($Q200=Parametres!$G$2,$Q200=Parametres!$G$3),I200,C200)</f>
        <v>-4352659.96</v>
      </c>
      <c r="O200" s="1122">
        <f>+IF(OR($Q200=Parametres!$G$2,$Q200=Parametres!$G$3),J200,D200)</f>
        <v>-989473.91</v>
      </c>
      <c r="P200" s="155">
        <f>+IF(OR($Q200=Parametres!$G$2,$Q200=Parametres!$G$3),K200,E200)</f>
        <v>-5342133.87</v>
      </c>
      <c r="Q200" s="154" t="str">
        <f t="shared" si="17"/>
        <v>5-Ventes</v>
      </c>
      <c r="R200" s="153" t="str">
        <f t="shared" si="18"/>
        <v>4201</v>
      </c>
      <c r="S200" s="154">
        <f t="shared" si="19"/>
        <v>0</v>
      </c>
      <c r="T200" s="156" t="str">
        <f>+VLOOKUP($L200,Data_Validation!$A:$D,1,0)</f>
        <v>4201</v>
      </c>
      <c r="U200" s="156" t="str">
        <f>+VLOOKUP($L200,Data_Validation!$A:$D,3,0)</f>
        <v>Véhicules usagés</v>
      </c>
      <c r="V200" s="156" t="str">
        <f>+VLOOKUP($L200,Data_Validation!$A:$D,4,0)</f>
        <v>Certifié</v>
      </c>
      <c r="W200" s="156" t="str">
        <f>+VLOOKUP($L200,Data_Validation!$A:$E,5,0)</f>
        <v>$</v>
      </c>
      <c r="X200" s="156" t="str">
        <f>+VLOOKUP($L200,Data_Validation!$A:$F,6,0)</f>
        <v>Oui</v>
      </c>
    </row>
    <row r="201" spans="1:24" ht="15" hidden="1" customHeight="1">
      <c r="A201" s="1147" t="s">
        <v>2511</v>
      </c>
      <c r="B201" s="1147" t="s">
        <v>2512</v>
      </c>
      <c r="C201" s="1149"/>
      <c r="D201" s="1149"/>
      <c r="E201" s="1149"/>
      <c r="F201" s="1147" t="s">
        <v>4</v>
      </c>
      <c r="G201" s="1147" t="s">
        <v>2001</v>
      </c>
      <c r="H201" s="1145"/>
      <c r="I201" s="1145">
        <v>-199</v>
      </c>
      <c r="J201" s="1145">
        <v>-40</v>
      </c>
      <c r="K201" s="1145">
        <v>-239</v>
      </c>
      <c r="L201" s="153" t="str">
        <f t="shared" si="15"/>
        <v>4201@</v>
      </c>
      <c r="M201" s="154" t="str">
        <f t="shared" si="16"/>
        <v># DE VTE - VEH.USAGE VW DET.CERT.</v>
      </c>
      <c r="N201" s="155">
        <f>+IF(OR($Q201=Parametres!$G$2,$Q201=Parametres!$G$3),I201,C201)</f>
        <v>-199</v>
      </c>
      <c r="O201" s="1122">
        <f>+IF(OR($Q201=Parametres!$G$2,$Q201=Parametres!$G$3),J201,D201)</f>
        <v>-40</v>
      </c>
      <c r="P201" s="155">
        <f>+IF(OR($Q201=Parametres!$G$2,$Q201=Parametres!$G$3),K201,E201)</f>
        <v>-239</v>
      </c>
      <c r="Q201" s="154" t="str">
        <f t="shared" si="17"/>
        <v>10-Compte compteur</v>
      </c>
      <c r="R201" s="153" t="str">
        <f t="shared" si="18"/>
        <v>4201</v>
      </c>
      <c r="S201" s="154">
        <f t="shared" si="19"/>
        <v>0</v>
      </c>
      <c r="T201" s="156" t="str">
        <f>+VLOOKUP($L201,Data_Validation!$A:$D,1,0)</f>
        <v>4201@</v>
      </c>
      <c r="U201" s="156" t="str">
        <f>+VLOOKUP($L201,Data_Validation!$A:$D,3,0)</f>
        <v>Véhicules usagés</v>
      </c>
      <c r="V201" s="156" t="str">
        <f>+VLOOKUP($L201,Data_Validation!$A:$D,4,0)</f>
        <v>Certifié</v>
      </c>
      <c r="W201" s="156" t="str">
        <f>+VLOOKUP($L201,Data_Validation!$A:$E,5,0)</f>
        <v>NB</v>
      </c>
      <c r="X201" s="156">
        <f>+VLOOKUP($L201,Data_Validation!$A:$F,6,0)</f>
        <v>0</v>
      </c>
    </row>
    <row r="202" spans="1:24" ht="15" hidden="1" customHeight="1">
      <c r="A202" s="1147" t="s">
        <v>2038</v>
      </c>
      <c r="B202" s="1147" t="s">
        <v>2039</v>
      </c>
      <c r="C202" s="1150">
        <v>-123713</v>
      </c>
      <c r="D202" s="1150">
        <v>-11000</v>
      </c>
      <c r="E202" s="1150">
        <v>-134713</v>
      </c>
      <c r="F202" s="1147" t="s">
        <v>285</v>
      </c>
      <c r="G202" s="1147" t="s">
        <v>2040</v>
      </c>
      <c r="H202" s="1145"/>
      <c r="I202" s="1149"/>
      <c r="J202" s="1149"/>
      <c r="K202" s="1149"/>
      <c r="L202" s="153" t="str">
        <f t="shared" si="15"/>
        <v>4285</v>
      </c>
      <c r="M202" s="154" t="str">
        <f t="shared" si="16"/>
        <v>VEH. D'OCC. AUTRE DETAIL</v>
      </c>
      <c r="N202" s="155">
        <f>+IF(OR($Q202=Parametres!$G$2,$Q202=Parametres!$G$3),I202,C202)</f>
        <v>-123713</v>
      </c>
      <c r="O202" s="1122">
        <f>+IF(OR($Q202=Parametres!$G$2,$Q202=Parametres!$G$3),J202,D202)</f>
        <v>-11000</v>
      </c>
      <c r="P202" s="155">
        <f>+IF(OR($Q202=Parametres!$G$2,$Q202=Parametres!$G$3),K202,E202)</f>
        <v>-134713</v>
      </c>
      <c r="Q202" s="154" t="str">
        <f t="shared" si="17"/>
        <v>5-Ventes</v>
      </c>
      <c r="R202" s="153" t="str">
        <f t="shared" si="18"/>
        <v>4261</v>
      </c>
      <c r="S202" s="154">
        <f t="shared" si="19"/>
        <v>0</v>
      </c>
      <c r="T202" s="156" t="str">
        <f>+VLOOKUP($L202,Data_Validation!$A:$D,1,0)</f>
        <v>4285</v>
      </c>
      <c r="U202" s="156" t="str">
        <f>+VLOOKUP($L202,Data_Validation!$A:$D,3,0)</f>
        <v>Véhicules usagés</v>
      </c>
      <c r="V202" s="156" t="str">
        <f>+VLOOKUP($L202,Data_Validation!$A:$D,4,0)</f>
        <v>Non Certifié</v>
      </c>
      <c r="W202" s="156" t="str">
        <f>+VLOOKUP($L202,Data_Validation!$A:$E,5,0)</f>
        <v>$</v>
      </c>
      <c r="X202" s="156" t="str">
        <f>+VLOOKUP($L202,Data_Validation!$A:$F,6,0)</f>
        <v>Oui</v>
      </c>
    </row>
    <row r="203" spans="1:24" ht="15" hidden="1" customHeight="1">
      <c r="A203" s="1147" t="s">
        <v>2515</v>
      </c>
      <c r="B203" s="1147" t="s">
        <v>2516</v>
      </c>
      <c r="C203" s="1149"/>
      <c r="D203" s="1149"/>
      <c r="E203" s="1149"/>
      <c r="F203" s="1147" t="s">
        <v>4</v>
      </c>
      <c r="G203" s="1147" t="s">
        <v>2040</v>
      </c>
      <c r="H203" s="1145"/>
      <c r="I203" s="1145">
        <v>-5</v>
      </c>
      <c r="J203" s="1145">
        <v>-1</v>
      </c>
      <c r="K203" s="1145">
        <v>-6</v>
      </c>
      <c r="L203" s="153" t="str">
        <f t="shared" si="15"/>
        <v>4285@</v>
      </c>
      <c r="M203" s="154" t="str">
        <f t="shared" si="16"/>
        <v>AUTRE MARQUES DETAIL - USAGE</v>
      </c>
      <c r="N203" s="155">
        <f>+IF(OR($Q203=Parametres!$G$2,$Q203=Parametres!$G$3),I203,C203)</f>
        <v>-5</v>
      </c>
      <c r="O203" s="1122">
        <f>+IF(OR($Q203=Parametres!$G$2,$Q203=Parametres!$G$3),J203,D203)</f>
        <v>-1</v>
      </c>
      <c r="P203" s="155">
        <f>+IF(OR($Q203=Parametres!$G$2,$Q203=Parametres!$G$3),K203,E203)</f>
        <v>-6</v>
      </c>
      <c r="Q203" s="154" t="str">
        <f t="shared" si="17"/>
        <v>10-Compte compteur</v>
      </c>
      <c r="R203" s="153" t="str">
        <f t="shared" si="18"/>
        <v>4261</v>
      </c>
      <c r="S203" s="154">
        <f t="shared" si="19"/>
        <v>0</v>
      </c>
      <c r="T203" s="156" t="str">
        <f>+VLOOKUP($L203,Data_Validation!$A:$D,1,0)</f>
        <v>4285@</v>
      </c>
      <c r="U203" s="156" t="str">
        <f>+VLOOKUP($L203,Data_Validation!$A:$D,3,0)</f>
        <v>Véhicules usagés</v>
      </c>
      <c r="V203" s="156" t="str">
        <f>+VLOOKUP($L203,Data_Validation!$A:$D,4,0)</f>
        <v>Non Certifié</v>
      </c>
      <c r="W203" s="156" t="str">
        <f>+VLOOKUP($L203,Data_Validation!$A:$E,5,0)</f>
        <v>NB</v>
      </c>
      <c r="X203" s="156">
        <f>+VLOOKUP($L203,Data_Validation!$A:$F,6,0)</f>
        <v>0</v>
      </c>
    </row>
    <row r="204" spans="1:24" ht="15" hidden="1" customHeight="1">
      <c r="A204" s="1147" t="s">
        <v>2006</v>
      </c>
      <c r="B204" s="1147" t="s">
        <v>2007</v>
      </c>
      <c r="C204" s="1150">
        <v>-2535485</v>
      </c>
      <c r="D204" s="1150">
        <v>-684539</v>
      </c>
      <c r="E204" s="1150">
        <v>-3220024</v>
      </c>
      <c r="F204" s="1147" t="s">
        <v>285</v>
      </c>
      <c r="G204" s="1147" t="s">
        <v>2008</v>
      </c>
      <c r="H204" s="1145"/>
      <c r="I204" s="1149"/>
      <c r="J204" s="1149"/>
      <c r="K204" s="1149"/>
      <c r="L204" s="153" t="str">
        <f t="shared" si="15"/>
        <v>4291</v>
      </c>
      <c r="M204" s="154" t="str">
        <f t="shared" si="16"/>
        <v>VEH. D'OCC. AU GROS</v>
      </c>
      <c r="N204" s="155">
        <f>+IF(OR($Q204=Parametres!$G$2,$Q204=Parametres!$G$3),I204,C204)</f>
        <v>-2535485</v>
      </c>
      <c r="O204" s="1120">
        <f>+IF(OR($Q204=Parametres!$G$2,$Q204=Parametres!$G$3),J204,D204)</f>
        <v>-684539</v>
      </c>
      <c r="P204" s="155">
        <f>+IF(OR($Q204=Parametres!$G$2,$Q204=Parametres!$G$3),K204,E204)</f>
        <v>-3220024</v>
      </c>
      <c r="Q204" s="154" t="str">
        <f t="shared" si="17"/>
        <v>5-Ventes</v>
      </c>
      <c r="R204" s="153" t="str">
        <f t="shared" si="18"/>
        <v>4281</v>
      </c>
      <c r="S204" s="154">
        <f t="shared" si="19"/>
        <v>0</v>
      </c>
      <c r="T204" s="156" t="str">
        <f>+VLOOKUP($L204,Data_Validation!$A:$D,1,0)</f>
        <v>4291</v>
      </c>
      <c r="U204" s="156" t="str">
        <f>+VLOOKUP($L204,Data_Validation!$A:$D,3,0)</f>
        <v>Véhicules usagés</v>
      </c>
      <c r="V204" s="156" t="str">
        <f>+VLOOKUP($L204,Data_Validation!$A:$D,4,0)</f>
        <v>Ventes au Gros</v>
      </c>
      <c r="W204" s="156" t="str">
        <f>+VLOOKUP($L204,Data_Validation!$A:$E,5,0)</f>
        <v>$</v>
      </c>
      <c r="X204" s="156" t="str">
        <f>+VLOOKUP($L204,Data_Validation!$A:$F,6,0)</f>
        <v>Oui</v>
      </c>
    </row>
    <row r="205" spans="1:24" ht="15" hidden="1" customHeight="1">
      <c r="A205" s="1147" t="s">
        <v>2517</v>
      </c>
      <c r="B205" s="1147" t="s">
        <v>2518</v>
      </c>
      <c r="C205" s="1149"/>
      <c r="D205" s="1149"/>
      <c r="E205" s="1149"/>
      <c r="F205" s="1147" t="s">
        <v>4</v>
      </c>
      <c r="G205" s="1147" t="s">
        <v>2008</v>
      </c>
      <c r="H205" s="1145"/>
      <c r="I205" s="1145">
        <v>-205</v>
      </c>
      <c r="J205" s="1145">
        <v>-61</v>
      </c>
      <c r="K205" s="1145">
        <v>-266</v>
      </c>
      <c r="L205" s="153" t="str">
        <f t="shared" si="15"/>
        <v>4291@</v>
      </c>
      <c r="M205" s="154" t="str">
        <f t="shared" si="16"/>
        <v>VENTE AU GROS - USAGES</v>
      </c>
      <c r="N205" s="155">
        <f>+IF(OR($Q205=Parametres!$G$2,$Q205=Parametres!$G$3),I205,C205)</f>
        <v>-205</v>
      </c>
      <c r="O205" s="1122">
        <f>+IF(OR($Q205=Parametres!$G$2,$Q205=Parametres!$G$3),J205,D205)</f>
        <v>-61</v>
      </c>
      <c r="P205" s="155">
        <f>+IF(OR($Q205=Parametres!$G$2,$Q205=Parametres!$G$3),K205,E205)</f>
        <v>-266</v>
      </c>
      <c r="Q205" s="154" t="str">
        <f t="shared" si="17"/>
        <v>10-Compte compteur</v>
      </c>
      <c r="R205" s="153" t="str">
        <f t="shared" si="18"/>
        <v>4281</v>
      </c>
      <c r="S205" s="154">
        <f t="shared" si="19"/>
        <v>0</v>
      </c>
      <c r="T205" s="156" t="str">
        <f>+VLOOKUP($L205,Data_Validation!$A:$D,1,0)</f>
        <v>4291@</v>
      </c>
      <c r="U205" s="156" t="str">
        <f>+VLOOKUP($L205,Data_Validation!$A:$D,3,0)</f>
        <v>Véhicules usagés</v>
      </c>
      <c r="V205" s="156" t="str">
        <f>+VLOOKUP($L205,Data_Validation!$A:$D,4,0)</f>
        <v>Ventes au Gros</v>
      </c>
      <c r="W205" s="156" t="str">
        <f>+VLOOKUP($L205,Data_Validation!$A:$E,5,0)</f>
        <v>NB</v>
      </c>
      <c r="X205" s="156">
        <f>+VLOOKUP($L205,Data_Validation!$A:$F,6,0)</f>
        <v>0</v>
      </c>
    </row>
    <row r="206" spans="1:24" ht="15.75" hidden="1" customHeight="1">
      <c r="A206" s="1147" t="s">
        <v>2011</v>
      </c>
      <c r="B206" s="1147" t="s">
        <v>2012</v>
      </c>
      <c r="C206" s="1150">
        <v>-568280.84</v>
      </c>
      <c r="D206" s="1150">
        <v>-74954.84</v>
      </c>
      <c r="E206" s="1150">
        <v>-643235.68000000005</v>
      </c>
      <c r="F206" s="1147" t="s">
        <v>285</v>
      </c>
      <c r="G206" s="1147" t="s">
        <v>2012</v>
      </c>
      <c r="H206" s="1145"/>
      <c r="I206" s="1149"/>
      <c r="J206" s="1149"/>
      <c r="K206" s="1149"/>
      <c r="L206" s="153" t="str">
        <f t="shared" si="15"/>
        <v>4401</v>
      </c>
      <c r="M206" s="154" t="str">
        <f t="shared" si="16"/>
        <v>M.O. MECANIQUE-VENTE CLIENTS</v>
      </c>
      <c r="N206" s="155">
        <f>+IF(OR($Q206=Parametres!$G$2,$Q206=Parametres!$G$3),I206,C206)</f>
        <v>-568280.84</v>
      </c>
      <c r="O206" s="1122">
        <f>+IF(OR($Q206=Parametres!$G$2,$Q206=Parametres!$G$3),J206,D206)</f>
        <v>-74954.84</v>
      </c>
      <c r="P206" s="155">
        <f>+IF(OR($Q206=Parametres!$G$2,$Q206=Parametres!$G$3),K206,E206)</f>
        <v>-643235.68000000005</v>
      </c>
      <c r="Q206" s="154" t="str">
        <f t="shared" si="17"/>
        <v>5-Ventes</v>
      </c>
      <c r="R206" s="153" t="str">
        <f t="shared" si="18"/>
        <v>4401</v>
      </c>
      <c r="S206" s="154">
        <f t="shared" si="19"/>
        <v>0</v>
      </c>
      <c r="T206" s="156" t="str">
        <f>+VLOOKUP($L206,Data_Validation!$A:$D,1,0)</f>
        <v>4401</v>
      </c>
      <c r="U206" s="156" t="str">
        <f>+VLOOKUP($L206,Data_Validation!$A:$D,3,0)</f>
        <v>Service</v>
      </c>
      <c r="V206" s="156" t="str">
        <f>+VLOOKUP($L206,Data_Validation!$A:$D,4,0)</f>
        <v>M/O Client</v>
      </c>
      <c r="W206" s="156" t="str">
        <f>+VLOOKUP($L206,Data_Validation!$A:$E,5,0)</f>
        <v>$</v>
      </c>
      <c r="X206" s="156" t="str">
        <f>+VLOOKUP($L206,Data_Validation!$A:$F,6,0)</f>
        <v>Oui</v>
      </c>
    </row>
    <row r="207" spans="1:24" ht="15" hidden="1" customHeight="1">
      <c r="A207" s="1147" t="s">
        <v>2011</v>
      </c>
      <c r="B207" s="1147" t="s">
        <v>2519</v>
      </c>
      <c r="C207" s="1149"/>
      <c r="D207" s="1149"/>
      <c r="E207" s="1149"/>
      <c r="F207" s="1147" t="s">
        <v>4</v>
      </c>
      <c r="G207" s="1147" t="s">
        <v>2012</v>
      </c>
      <c r="H207" s="1145"/>
      <c r="I207" s="1150">
        <v>-2602</v>
      </c>
      <c r="J207" s="1145">
        <v>-328</v>
      </c>
      <c r="K207" s="1150">
        <v>-2930</v>
      </c>
      <c r="L207" s="153" t="str">
        <f t="shared" si="15"/>
        <v>4401@</v>
      </c>
      <c r="M207" s="154" t="str">
        <f t="shared" si="16"/>
        <v>M.O. MECANIQUE-VENTE CLIENTS</v>
      </c>
      <c r="N207" s="155">
        <f>+IF(OR($Q207=Parametres!$G$2,$Q207=Parametres!$G$3),I207,C207)</f>
        <v>-2602</v>
      </c>
      <c r="O207" s="1120">
        <f>+IF(OR($Q207=Parametres!$G$2,$Q207=Parametres!$G$3),J207,D207)</f>
        <v>-328</v>
      </c>
      <c r="P207" s="155">
        <f>+IF(OR($Q207=Parametres!$G$2,$Q207=Parametres!$G$3),K207,E207)</f>
        <v>-2930</v>
      </c>
      <c r="Q207" s="154" t="str">
        <f t="shared" si="17"/>
        <v>10-Compte compteur</v>
      </c>
      <c r="R207" s="153" t="str">
        <f t="shared" si="18"/>
        <v>4401</v>
      </c>
      <c r="S207" s="154">
        <f t="shared" si="19"/>
        <v>0</v>
      </c>
      <c r="T207" s="156" t="str">
        <f>+VLOOKUP($L207,Data_Validation!$A:$D,1,0)</f>
        <v>4401@</v>
      </c>
      <c r="U207" s="156" t="str">
        <f>+VLOOKUP($L207,Data_Validation!$A:$D,3,0)</f>
        <v>Service</v>
      </c>
      <c r="V207" s="156" t="str">
        <f>+VLOOKUP($L207,Data_Validation!$A:$D,4,0)</f>
        <v>M/O Client</v>
      </c>
      <c r="W207" s="156" t="str">
        <f>+VLOOKUP($L207,Data_Validation!$A:$E,5,0)</f>
        <v>NB</v>
      </c>
      <c r="X207" s="156">
        <f>+VLOOKUP($L207,Data_Validation!$A:$F,6,0)</f>
        <v>0</v>
      </c>
    </row>
    <row r="208" spans="1:24" ht="15" hidden="1" customHeight="1">
      <c r="A208" s="1147" t="s">
        <v>2191</v>
      </c>
      <c r="B208" s="1147" t="s">
        <v>2192</v>
      </c>
      <c r="C208" s="1150">
        <v>-2917.67</v>
      </c>
      <c r="D208" s="1150">
        <v>0</v>
      </c>
      <c r="E208" s="1150">
        <v>-2917.67</v>
      </c>
      <c r="F208" s="1147" t="s">
        <v>285</v>
      </c>
      <c r="G208" s="1147" t="s">
        <v>2192</v>
      </c>
      <c r="H208" s="1145"/>
      <c r="I208" s="1149"/>
      <c r="J208" s="1149"/>
      <c r="K208" s="1149"/>
      <c r="L208" s="153" t="str">
        <f t="shared" si="15"/>
        <v>4402</v>
      </c>
      <c r="M208" s="154" t="str">
        <f t="shared" si="16"/>
        <v>VTE - M.O. ESTHETIQUE CLIENT</v>
      </c>
      <c r="N208" s="155">
        <f>+IF(OR($Q208=Parametres!$G$2,$Q208=Parametres!$G$3),I208,C208)</f>
        <v>-2917.67</v>
      </c>
      <c r="O208" s="1122">
        <f>+IF(OR($Q208=Parametres!$G$2,$Q208=Parametres!$G$3),J208,D208)</f>
        <v>0</v>
      </c>
      <c r="P208" s="155">
        <f>+IF(OR($Q208=Parametres!$G$2,$Q208=Parametres!$G$3),K208,E208)</f>
        <v>-2917.67</v>
      </c>
      <c r="Q208" s="154" t="str">
        <f t="shared" si="17"/>
        <v>5-Ventes</v>
      </c>
      <c r="R208" s="153" t="str">
        <f t="shared" si="18"/>
        <v>4402</v>
      </c>
      <c r="S208" s="154">
        <f t="shared" si="19"/>
        <v>0</v>
      </c>
      <c r="T208" s="156" t="str">
        <f>+VLOOKUP($L208,Data_Validation!$A:$D,1,0)</f>
        <v>4402</v>
      </c>
      <c r="U208" s="156" t="str">
        <f>+VLOOKUP($L208,Data_Validation!$A:$D,3,0)</f>
        <v>Service</v>
      </c>
      <c r="V208" s="156" t="str">
        <f>+VLOOKUP($L208,Data_Validation!$A:$D,4,0)</f>
        <v>M/O Esthétique</v>
      </c>
      <c r="W208" s="156" t="str">
        <f>+VLOOKUP($L208,Data_Validation!$A:$E,5,0)</f>
        <v>$</v>
      </c>
      <c r="X208" s="156" t="str">
        <f>+VLOOKUP($L208,Data_Validation!$A:$F,6,0)</f>
        <v>Oui</v>
      </c>
    </row>
    <row r="209" spans="1:24" ht="15" hidden="1" customHeight="1">
      <c r="A209" s="1147" t="s">
        <v>2041</v>
      </c>
      <c r="B209" s="1147" t="s">
        <v>2042</v>
      </c>
      <c r="C209" s="1149">
        <v>-344643.35</v>
      </c>
      <c r="D209" s="1149">
        <v>-44854.55</v>
      </c>
      <c r="E209" s="1149">
        <v>-389497.9</v>
      </c>
      <c r="F209" s="1147" t="s">
        <v>285</v>
      </c>
      <c r="G209" s="1147" t="s">
        <v>2042</v>
      </c>
      <c r="H209" s="1145"/>
      <c r="I209" s="1150"/>
      <c r="J209" s="1145"/>
      <c r="K209" s="1150"/>
      <c r="L209" s="153" t="str">
        <f t="shared" si="15"/>
        <v>4403</v>
      </c>
      <c r="M209" s="154" t="str">
        <f t="shared" si="16"/>
        <v>M.O. MECANIQUE-VENTE GAR. MANU</v>
      </c>
      <c r="N209" s="155">
        <f>+IF(OR($Q209=Parametres!$G$2,$Q209=Parametres!$G$3),I209,C209)</f>
        <v>-344643.35</v>
      </c>
      <c r="O209" s="1122">
        <f>+IF(OR($Q209=Parametres!$G$2,$Q209=Parametres!$G$3),J209,D209)</f>
        <v>-44854.55</v>
      </c>
      <c r="P209" s="155">
        <f>+IF(OR($Q209=Parametres!$G$2,$Q209=Parametres!$G$3),K209,E209)</f>
        <v>-389497.9</v>
      </c>
      <c r="Q209" s="154" t="str">
        <f t="shared" si="17"/>
        <v>5-Ventes</v>
      </c>
      <c r="R209" s="153" t="str">
        <f t="shared" si="18"/>
        <v>4403</v>
      </c>
      <c r="S209" s="154">
        <f t="shared" si="19"/>
        <v>0</v>
      </c>
      <c r="T209" s="156" t="str">
        <f>+VLOOKUP($L209,Data_Validation!$A:$D,1,0)</f>
        <v>4403</v>
      </c>
      <c r="U209" s="156" t="str">
        <f>+VLOOKUP($L209,Data_Validation!$A:$D,3,0)</f>
        <v>Service</v>
      </c>
      <c r="V209" s="156" t="str">
        <f>+VLOOKUP($L209,Data_Validation!$A:$D,4,0)</f>
        <v>M/O Garantie</v>
      </c>
      <c r="W209" s="156" t="str">
        <f>+VLOOKUP($L209,Data_Validation!$A:$E,5,0)</f>
        <v>$</v>
      </c>
      <c r="X209" s="156" t="str">
        <f>+VLOOKUP($L209,Data_Validation!$A:$F,6,0)</f>
        <v>Oui</v>
      </c>
    </row>
    <row r="210" spans="1:24" ht="15" hidden="1" customHeight="1">
      <c r="A210" s="1147" t="s">
        <v>2041</v>
      </c>
      <c r="B210" s="1147" t="s">
        <v>2522</v>
      </c>
      <c r="C210" s="1150"/>
      <c r="D210" s="1145"/>
      <c r="E210" s="1150"/>
      <c r="F210" s="1147" t="s">
        <v>4</v>
      </c>
      <c r="G210" s="1147" t="s">
        <v>2042</v>
      </c>
      <c r="H210" s="1145"/>
      <c r="I210" s="1149">
        <v>-1453</v>
      </c>
      <c r="J210" s="1149">
        <v>-185</v>
      </c>
      <c r="K210" s="1149">
        <v>-1638</v>
      </c>
      <c r="L210" s="153" t="str">
        <f t="shared" si="15"/>
        <v>4403@</v>
      </c>
      <c r="M210" s="154" t="str">
        <f t="shared" si="16"/>
        <v>M.O. MECANIQUE-VENTE GAR. MANU</v>
      </c>
      <c r="N210" s="155">
        <f>+IF(OR($Q210=Parametres!$G$2,$Q210=Parametres!$G$3),I210,C210)</f>
        <v>-1453</v>
      </c>
      <c r="O210" s="1120">
        <f>+IF(OR($Q210=Parametres!$G$2,$Q210=Parametres!$G$3),J210,D210)</f>
        <v>-185</v>
      </c>
      <c r="P210" s="155">
        <f>+IF(OR($Q210=Parametres!$G$2,$Q210=Parametres!$G$3),K210,E210)</f>
        <v>-1638</v>
      </c>
      <c r="Q210" s="154" t="str">
        <f t="shared" si="17"/>
        <v>10-Compte compteur</v>
      </c>
      <c r="R210" s="153" t="str">
        <f t="shared" si="18"/>
        <v>4403</v>
      </c>
      <c r="S210" s="154">
        <f t="shared" si="19"/>
        <v>0</v>
      </c>
      <c r="T210" s="156" t="str">
        <f>+VLOOKUP($L210,Data_Validation!$A:$D,1,0)</f>
        <v>4403@</v>
      </c>
      <c r="U210" s="156" t="str">
        <f>+VLOOKUP($L210,Data_Validation!$A:$D,3,0)</f>
        <v>Service</v>
      </c>
      <c r="V210" s="156" t="str">
        <f>+VLOOKUP($L210,Data_Validation!$A:$D,4,0)</f>
        <v>M/O Garantie</v>
      </c>
      <c r="W210" s="156" t="str">
        <f>+VLOOKUP($L210,Data_Validation!$A:$E,5,0)</f>
        <v>NB</v>
      </c>
      <c r="X210" s="156">
        <f>+VLOOKUP($L210,Data_Validation!$A:$F,6,0)</f>
        <v>0</v>
      </c>
    </row>
    <row r="211" spans="1:24" ht="15.75" hidden="1" customHeight="1">
      <c r="A211" s="1147" t="s">
        <v>2051</v>
      </c>
      <c r="B211" s="1147" t="s">
        <v>2052</v>
      </c>
      <c r="C211" s="1149">
        <v>-344169.59</v>
      </c>
      <c r="D211" s="1149">
        <v>-53533.760000000002</v>
      </c>
      <c r="E211" s="1149">
        <v>-397703.35</v>
      </c>
      <c r="F211" s="1147" t="s">
        <v>285</v>
      </c>
      <c r="G211" s="1147" t="s">
        <v>2052</v>
      </c>
      <c r="H211" s="1145"/>
      <c r="I211" s="1145"/>
      <c r="J211" s="1145"/>
      <c r="K211" s="1145"/>
      <c r="L211" s="153" t="str">
        <f t="shared" si="15"/>
        <v>4405</v>
      </c>
      <c r="M211" s="154" t="str">
        <f t="shared" si="16"/>
        <v>M.O. MECANIQUE-VENTE INTERNE</v>
      </c>
      <c r="N211" s="155">
        <f>+IF(OR($Q211=Parametres!$G$2,$Q211=Parametres!$G$3),I211,C211)</f>
        <v>-344169.59</v>
      </c>
      <c r="O211" s="1122">
        <f>+IF(OR($Q211=Parametres!$G$2,$Q211=Parametres!$G$3),J211,D211)</f>
        <v>-53533.760000000002</v>
      </c>
      <c r="P211" s="155">
        <f>+IF(OR($Q211=Parametres!$G$2,$Q211=Parametres!$G$3),K211,E211)</f>
        <v>-397703.35</v>
      </c>
      <c r="Q211" s="154" t="str">
        <f t="shared" si="17"/>
        <v>5-Ventes</v>
      </c>
      <c r="R211" s="153" t="str">
        <f t="shared" si="18"/>
        <v>4405</v>
      </c>
      <c r="S211" s="154">
        <f t="shared" si="19"/>
        <v>0</v>
      </c>
      <c r="T211" s="156" t="str">
        <f>+VLOOKUP($L211,Data_Validation!$A:$D,1,0)</f>
        <v>4405</v>
      </c>
      <c r="U211" s="156" t="str">
        <f>+VLOOKUP($L211,Data_Validation!$A:$D,3,0)</f>
        <v>Service</v>
      </c>
      <c r="V211" s="156" t="str">
        <f>+VLOOKUP($L211,Data_Validation!$A:$D,4,0)</f>
        <v>M/O Interne</v>
      </c>
      <c r="W211" s="156" t="str">
        <f>+VLOOKUP($L211,Data_Validation!$A:$E,5,0)</f>
        <v>$</v>
      </c>
      <c r="X211" s="156" t="str">
        <f>+VLOOKUP($L211,Data_Validation!$A:$F,6,0)</f>
        <v>Oui</v>
      </c>
    </row>
    <row r="212" spans="1:24" ht="15" hidden="1" customHeight="1">
      <c r="A212" s="1147" t="s">
        <v>2051</v>
      </c>
      <c r="B212" s="1147" t="s">
        <v>2523</v>
      </c>
      <c r="C212" s="1145"/>
      <c r="D212" s="1145"/>
      <c r="E212" s="1145"/>
      <c r="F212" s="1147" t="s">
        <v>4</v>
      </c>
      <c r="G212" s="1147" t="s">
        <v>2052</v>
      </c>
      <c r="H212" s="1145"/>
      <c r="I212" s="1149">
        <v>-1722</v>
      </c>
      <c r="J212" s="1149">
        <v>-256</v>
      </c>
      <c r="K212" s="1149">
        <v>-1978</v>
      </c>
      <c r="L212" s="153" t="str">
        <f t="shared" si="15"/>
        <v>4405@</v>
      </c>
      <c r="M212" s="154" t="str">
        <f t="shared" si="16"/>
        <v>M.O. MECANIQUE-VENTE INTERNE</v>
      </c>
      <c r="N212" s="155">
        <f>+IF(OR($Q212=Parametres!$G$2,$Q212=Parametres!$G$3),I212,C212)</f>
        <v>-1722</v>
      </c>
      <c r="O212" s="1122">
        <f>+IF(OR($Q212=Parametres!$G$2,$Q212=Parametres!$G$3),J212,D212)</f>
        <v>-256</v>
      </c>
      <c r="P212" s="155">
        <f>+IF(OR($Q212=Parametres!$G$2,$Q212=Parametres!$G$3),K212,E212)</f>
        <v>-1978</v>
      </c>
      <c r="Q212" s="154" t="str">
        <f t="shared" si="17"/>
        <v>10-Compte compteur</v>
      </c>
      <c r="R212" s="153" t="str">
        <f t="shared" si="18"/>
        <v>4405</v>
      </c>
      <c r="S212" s="154">
        <f t="shared" si="19"/>
        <v>0</v>
      </c>
      <c r="T212" s="156" t="str">
        <f>+VLOOKUP($L212,Data_Validation!$A:$D,1,0)</f>
        <v>4405@</v>
      </c>
      <c r="U212" s="156" t="str">
        <f>+VLOOKUP($L212,Data_Validation!$A:$D,3,0)</f>
        <v>Service</v>
      </c>
      <c r="V212" s="156" t="str">
        <f>+VLOOKUP($L212,Data_Validation!$A:$D,4,0)</f>
        <v>M/O Interne</v>
      </c>
      <c r="W212" s="156" t="str">
        <f>+VLOOKUP($L212,Data_Validation!$A:$E,5,0)</f>
        <v>NB</v>
      </c>
      <c r="X212" s="156">
        <f>+VLOOKUP($L212,Data_Validation!$A:$F,6,0)</f>
        <v>0</v>
      </c>
    </row>
    <row r="213" spans="1:24" ht="15" hidden="1" customHeight="1">
      <c r="A213" s="1147" t="s">
        <v>2071</v>
      </c>
      <c r="B213" s="1147" t="s">
        <v>2072</v>
      </c>
      <c r="C213" s="1149">
        <v>-99735.360000000001</v>
      </c>
      <c r="D213" s="1149">
        <v>-18216.47</v>
      </c>
      <c r="E213" s="1149">
        <v>-117951.83</v>
      </c>
      <c r="F213" s="1147" t="s">
        <v>285</v>
      </c>
      <c r="G213" s="1147" t="s">
        <v>2073</v>
      </c>
      <c r="H213" s="1145"/>
      <c r="I213" s="1145"/>
      <c r="J213" s="1145"/>
      <c r="K213" s="1145"/>
      <c r="L213" s="153" t="str">
        <f t="shared" si="15"/>
        <v>4451</v>
      </c>
      <c r="M213" s="154" t="str">
        <f t="shared" si="16"/>
        <v>CARBURANT/HUILE/GRAISSE</v>
      </c>
      <c r="N213" s="155">
        <f>+IF(OR($Q213=Parametres!$G$2,$Q213=Parametres!$G$3),I213,C213)</f>
        <v>-99735.360000000001</v>
      </c>
      <c r="O213" s="1122">
        <f>+IF(OR($Q213=Parametres!$G$2,$Q213=Parametres!$G$3),J213,D213)</f>
        <v>-18216.47</v>
      </c>
      <c r="P213" s="155">
        <f>+IF(OR($Q213=Parametres!$G$2,$Q213=Parametres!$G$3),K213,E213)</f>
        <v>-117951.83</v>
      </c>
      <c r="Q213" s="154" t="str">
        <f t="shared" si="17"/>
        <v>5-Ventes</v>
      </c>
      <c r="R213" s="153" t="str">
        <f t="shared" si="18"/>
        <v>4782</v>
      </c>
      <c r="S213" s="154">
        <f t="shared" si="19"/>
        <v>0</v>
      </c>
      <c r="T213" s="156" t="str">
        <f>+VLOOKUP($L213,Data_Validation!$A:$D,1,0)</f>
        <v>4451</v>
      </c>
      <c r="U213" s="156" t="str">
        <f>+VLOOKUP($L213,Data_Validation!$A:$D,3,0)</f>
        <v>Pièces</v>
      </c>
      <c r="V213" s="156" t="str">
        <f>+VLOOKUP($L213,Data_Validation!$A:$D,4,0)</f>
        <v>Huiles et Graisse</v>
      </c>
      <c r="W213" s="156" t="str">
        <f>+VLOOKUP($L213,Data_Validation!$A:$E,5,0)</f>
        <v>$</v>
      </c>
      <c r="X213" s="156" t="str">
        <f>+VLOOKUP($L213,Data_Validation!$A:$F,6,0)</f>
        <v>Oui</v>
      </c>
    </row>
    <row r="214" spans="1:24" ht="15" hidden="1" customHeight="1">
      <c r="A214" s="1147" t="s">
        <v>2071</v>
      </c>
      <c r="B214" s="1147" t="s">
        <v>2526</v>
      </c>
      <c r="C214" s="1145"/>
      <c r="D214" s="1145"/>
      <c r="E214" s="1145"/>
      <c r="F214" s="1147" t="s">
        <v>4</v>
      </c>
      <c r="G214" s="1147" t="s">
        <v>2073</v>
      </c>
      <c r="H214" s="1145"/>
      <c r="I214" s="1149">
        <v>-1867</v>
      </c>
      <c r="J214" s="1149">
        <v>-327</v>
      </c>
      <c r="K214" s="1149">
        <v>-2194</v>
      </c>
      <c r="L214" s="153" t="str">
        <f t="shared" si="15"/>
        <v>4451@</v>
      </c>
      <c r="M214" s="154" t="str">
        <f t="shared" si="16"/>
        <v>CARBURANT/HUILE/GRAISSE</v>
      </c>
      <c r="N214" s="155">
        <f>+IF(OR($Q214=Parametres!$G$2,$Q214=Parametres!$G$3),I214,C214)</f>
        <v>-1867</v>
      </c>
      <c r="O214" s="1122">
        <f>+IF(OR($Q214=Parametres!$G$2,$Q214=Parametres!$G$3),J214,D214)</f>
        <v>-327</v>
      </c>
      <c r="P214" s="155">
        <f>+IF(OR($Q214=Parametres!$G$2,$Q214=Parametres!$G$3),K214,E214)</f>
        <v>-2194</v>
      </c>
      <c r="Q214" s="154" t="str">
        <f t="shared" si="17"/>
        <v>10-Compte compteur</v>
      </c>
      <c r="R214" s="153" t="str">
        <f t="shared" si="18"/>
        <v>4782</v>
      </c>
      <c r="S214" s="154">
        <f t="shared" si="19"/>
        <v>0</v>
      </c>
      <c r="T214" s="156" t="str">
        <f>+VLOOKUP($L214,Data_Validation!$A:$D,1,0)</f>
        <v>4451@</v>
      </c>
      <c r="U214" s="156" t="str">
        <f>+VLOOKUP($L214,Data_Validation!$A:$D,3,0)</f>
        <v>Pièces</v>
      </c>
      <c r="V214" s="156" t="str">
        <f>+VLOOKUP($L214,Data_Validation!$A:$D,4,0)</f>
        <v>Huiles et Graisse</v>
      </c>
      <c r="W214" s="156" t="str">
        <f>+VLOOKUP($L214,Data_Validation!$A:$E,5,0)</f>
        <v>NB</v>
      </c>
      <c r="X214" s="156">
        <f>+VLOOKUP($L214,Data_Validation!$A:$F,6,0)</f>
        <v>0</v>
      </c>
    </row>
    <row r="215" spans="1:24" ht="15.75" hidden="1" customHeight="1">
      <c r="A215" s="1147" t="s">
        <v>2144</v>
      </c>
      <c r="B215" s="1147" t="s">
        <v>2145</v>
      </c>
      <c r="C215" s="1149">
        <v>-9058.7099999999991</v>
      </c>
      <c r="D215" s="1149">
        <v>-830.06</v>
      </c>
      <c r="E215" s="1149">
        <v>-9888.77</v>
      </c>
      <c r="F215" s="1147" t="s">
        <v>285</v>
      </c>
      <c r="G215" s="1147" t="s">
        <v>2145</v>
      </c>
      <c r="H215" s="1145"/>
      <c r="I215" s="1145"/>
      <c r="J215" s="1145"/>
      <c r="K215" s="1145"/>
      <c r="L215" s="153" t="str">
        <f t="shared" si="15"/>
        <v>4491</v>
      </c>
      <c r="M215" s="154" t="str">
        <f t="shared" si="16"/>
        <v>REPARATION SOUS-LOC. - GENERAL</v>
      </c>
      <c r="N215" s="155">
        <f>+IF(OR($Q215=Parametres!$G$2,$Q215=Parametres!$G$3),I215,C215)</f>
        <v>-9058.7099999999991</v>
      </c>
      <c r="O215" s="1122">
        <f>+IF(OR($Q215=Parametres!$G$2,$Q215=Parametres!$G$3),J215,D215)</f>
        <v>-830.06</v>
      </c>
      <c r="P215" s="155">
        <f>+IF(OR($Q215=Parametres!$G$2,$Q215=Parametres!$G$3),K215,E215)</f>
        <v>-9888.77</v>
      </c>
      <c r="Q215" s="154" t="str">
        <f t="shared" si="17"/>
        <v>5-Ventes</v>
      </c>
      <c r="R215" s="153" t="str">
        <f t="shared" si="18"/>
        <v>4491</v>
      </c>
      <c r="S215" s="154">
        <f t="shared" si="19"/>
        <v>0</v>
      </c>
      <c r="T215" s="156" t="str">
        <f>+VLOOKUP($L215,Data_Validation!$A:$D,1,0)</f>
        <v>4491</v>
      </c>
      <c r="U215" s="156" t="str">
        <f>+VLOOKUP($L215,Data_Validation!$A:$D,3,0)</f>
        <v>Service</v>
      </c>
      <c r="V215" s="156" t="str">
        <f>+VLOOKUP($L215,Data_Validation!$A:$D,4,0)</f>
        <v>Sous-traitement</v>
      </c>
      <c r="W215" s="156" t="str">
        <f>+VLOOKUP($L215,Data_Validation!$A:$E,5,0)</f>
        <v>$</v>
      </c>
      <c r="X215" s="156" t="str">
        <f>+VLOOKUP($L215,Data_Validation!$A:$F,6,0)</f>
        <v>Oui</v>
      </c>
    </row>
    <row r="216" spans="1:24" ht="15" hidden="1" customHeight="1">
      <c r="A216" s="1147" t="s">
        <v>2144</v>
      </c>
      <c r="B216" s="1147" t="s">
        <v>2527</v>
      </c>
      <c r="C216" s="1149"/>
      <c r="D216" s="1149"/>
      <c r="E216" s="1149"/>
      <c r="F216" s="1147" t="s">
        <v>4</v>
      </c>
      <c r="G216" s="1147" t="s">
        <v>2145</v>
      </c>
      <c r="H216" s="1145"/>
      <c r="I216" s="1150">
        <v>-46</v>
      </c>
      <c r="J216" s="1145">
        <v>-3</v>
      </c>
      <c r="K216" s="1150">
        <v>-49</v>
      </c>
      <c r="L216" s="153" t="str">
        <f t="shared" si="15"/>
        <v>4491@</v>
      </c>
      <c r="M216" s="154" t="str">
        <f t="shared" si="16"/>
        <v>REPARATION SOUS-LOC. - GENERAL</v>
      </c>
      <c r="N216" s="155">
        <f>+IF(OR($Q216=Parametres!$G$2,$Q216=Parametres!$G$3),I216,C216)</f>
        <v>-46</v>
      </c>
      <c r="O216" s="1122">
        <f>+IF(OR($Q216=Parametres!$G$2,$Q216=Parametres!$G$3),J216,D216)</f>
        <v>-3</v>
      </c>
      <c r="P216" s="155">
        <f>+IF(OR($Q216=Parametres!$G$2,$Q216=Parametres!$G$3),K216,E216)</f>
        <v>-49</v>
      </c>
      <c r="Q216" s="154" t="str">
        <f t="shared" si="17"/>
        <v>10-Compte compteur</v>
      </c>
      <c r="R216" s="153" t="str">
        <f t="shared" si="18"/>
        <v>4491</v>
      </c>
      <c r="S216" s="154">
        <f t="shared" si="19"/>
        <v>0</v>
      </c>
      <c r="T216" s="156" t="str">
        <f>+VLOOKUP($L216,Data_Validation!$A:$D,1,0)</f>
        <v>4491@</v>
      </c>
      <c r="U216" s="156" t="str">
        <f>+VLOOKUP($L216,Data_Validation!$A:$D,3,0)</f>
        <v>Service</v>
      </c>
      <c r="V216" s="156" t="str">
        <f>+VLOOKUP($L216,Data_Validation!$A:$D,4,0)</f>
        <v>Sous-traitement</v>
      </c>
      <c r="W216" s="156" t="str">
        <f>+VLOOKUP($L216,Data_Validation!$A:$E,5,0)</f>
        <v>NB</v>
      </c>
      <c r="X216" s="156">
        <f>+VLOOKUP($L216,Data_Validation!$A:$F,6,0)</f>
        <v>0</v>
      </c>
    </row>
    <row r="217" spans="1:24" ht="15" hidden="1" customHeight="1">
      <c r="A217" s="1147" t="s">
        <v>2167</v>
      </c>
      <c r="B217" s="1147" t="s">
        <v>2168</v>
      </c>
      <c r="C217" s="1150">
        <v>-14649.6</v>
      </c>
      <c r="D217" s="1145">
        <v>-767.01</v>
      </c>
      <c r="E217" s="1150">
        <v>-15416.61</v>
      </c>
      <c r="F217" s="1147" t="s">
        <v>285</v>
      </c>
      <c r="G217" s="1147" t="s">
        <v>2168</v>
      </c>
      <c r="H217" s="1145"/>
      <c r="I217" s="1149"/>
      <c r="J217" s="1149"/>
      <c r="K217" s="1149"/>
      <c r="L217" s="153" t="str">
        <f t="shared" si="15"/>
        <v>4493</v>
      </c>
      <c r="M217" s="154" t="str">
        <f t="shared" si="16"/>
        <v>VTE - SOUS-TRAITANCE GARANTIE</v>
      </c>
      <c r="N217" s="155">
        <f>+IF(OR($Q217=Parametres!$G$2,$Q217=Parametres!$G$3),I217,C217)</f>
        <v>-14649.6</v>
      </c>
      <c r="O217" s="1122">
        <f>+IF(OR($Q217=Parametres!$G$2,$Q217=Parametres!$G$3),J217,D217)</f>
        <v>-767.01</v>
      </c>
      <c r="P217" s="155">
        <f>+IF(OR($Q217=Parametres!$G$2,$Q217=Parametres!$G$3),K217,E217)</f>
        <v>-15416.61</v>
      </c>
      <c r="Q217" s="154" t="str">
        <f t="shared" si="17"/>
        <v>5-Ventes</v>
      </c>
      <c r="R217" s="153" t="str">
        <f t="shared" si="18"/>
        <v>4493</v>
      </c>
      <c r="S217" s="154">
        <f t="shared" si="19"/>
        <v>0</v>
      </c>
      <c r="T217" s="156" t="str">
        <f>+VLOOKUP($L217,Data_Validation!$A:$D,1,0)</f>
        <v>4493</v>
      </c>
      <c r="U217" s="156" t="str">
        <f>+VLOOKUP($L217,Data_Validation!$A:$D,3,0)</f>
        <v>Service</v>
      </c>
      <c r="V217" s="156" t="str">
        <f>+VLOOKUP($L217,Data_Validation!$A:$D,4,0)</f>
        <v>Sous-traitement</v>
      </c>
      <c r="W217" s="156" t="str">
        <f>+VLOOKUP($L217,Data_Validation!$A:$E,5,0)</f>
        <v>$</v>
      </c>
      <c r="X217" s="156" t="str">
        <f>+VLOOKUP($L217,Data_Validation!$A:$F,6,0)</f>
        <v>Oui</v>
      </c>
    </row>
    <row r="218" spans="1:24" ht="15" hidden="1" customHeight="1">
      <c r="A218" s="1147" t="s">
        <v>2528</v>
      </c>
      <c r="B218" s="1147" t="s">
        <v>2529</v>
      </c>
      <c r="C218" s="1149"/>
      <c r="D218" s="1149"/>
      <c r="E218" s="1149"/>
      <c r="F218" s="1147" t="s">
        <v>4</v>
      </c>
      <c r="G218" s="1147" t="s">
        <v>2168</v>
      </c>
      <c r="H218" s="1145"/>
      <c r="I218" s="1145">
        <v>-22</v>
      </c>
      <c r="J218" s="1145">
        <v>-2</v>
      </c>
      <c r="K218" s="1145">
        <v>-24</v>
      </c>
      <c r="L218" s="153" t="str">
        <f t="shared" si="15"/>
        <v>4493@</v>
      </c>
      <c r="M218" s="579" t="str">
        <f t="shared" si="16"/>
        <v># DE VTE - SOUS-TRAITANCE GARANTIE</v>
      </c>
      <c r="N218" s="155">
        <f>+IF(OR($Q218=Parametres!$G$2,$Q218=Parametres!$G$3),I218,C218)</f>
        <v>-22</v>
      </c>
      <c r="O218" s="1120">
        <f>+IF(OR($Q218=Parametres!$G$2,$Q218=Parametres!$G$3),J218,D218)</f>
        <v>-2</v>
      </c>
      <c r="P218" s="581">
        <f>+IF(OR($Q218=Parametres!$G$2,$Q218=Parametres!$G$3),K218,E218)</f>
        <v>-24</v>
      </c>
      <c r="Q218" s="154" t="str">
        <f t="shared" si="17"/>
        <v>10-Compte compteur</v>
      </c>
      <c r="R218" s="153" t="str">
        <f t="shared" si="18"/>
        <v>4493</v>
      </c>
      <c r="S218" s="154">
        <f t="shared" si="19"/>
        <v>0</v>
      </c>
      <c r="T218" s="156" t="str">
        <f>+VLOOKUP($L218,Data_Validation!$A:$D,1,0)</f>
        <v>4493@</v>
      </c>
      <c r="U218" s="156" t="str">
        <f>+VLOOKUP($L218,Data_Validation!$A:$D,3,0)</f>
        <v>Service</v>
      </c>
      <c r="V218" s="156" t="str">
        <f>+VLOOKUP($L218,Data_Validation!$A:$D,4,0)</f>
        <v>Sous-traitement</v>
      </c>
      <c r="W218" s="156" t="str">
        <f>+VLOOKUP($L218,Data_Validation!$A:$E,5,0)</f>
        <v>NB</v>
      </c>
      <c r="X218" s="156">
        <f>+VLOOKUP($L218,Data_Validation!$A:$F,6,0)</f>
        <v>0</v>
      </c>
    </row>
    <row r="219" spans="1:24" ht="15.75" hidden="1" customHeight="1">
      <c r="A219" s="1147" t="s">
        <v>2086</v>
      </c>
      <c r="B219" s="1147" t="s">
        <v>2087</v>
      </c>
      <c r="C219" s="1150">
        <v>-116150.86</v>
      </c>
      <c r="D219" s="1150">
        <v>-20299.53</v>
      </c>
      <c r="E219" s="1150">
        <v>-136450.39000000001</v>
      </c>
      <c r="F219" s="1147" t="s">
        <v>285</v>
      </c>
      <c r="G219" s="1147" t="s">
        <v>2087</v>
      </c>
      <c r="H219" s="1145"/>
      <c r="I219" s="1149"/>
      <c r="J219" s="1149"/>
      <c r="K219" s="1149"/>
      <c r="L219" s="153" t="str">
        <f t="shared" si="15"/>
        <v>4495</v>
      </c>
      <c r="M219" s="154" t="str">
        <f t="shared" si="16"/>
        <v>VTE - S-TRAITANCE MEC.INTERNE VW</v>
      </c>
      <c r="N219" s="155">
        <f>+IF(OR($Q219=Parametres!$G$2,$Q219=Parametres!$G$3),I219,C219)</f>
        <v>-116150.86</v>
      </c>
      <c r="O219" s="1120">
        <f>+IF(OR($Q219=Parametres!$G$2,$Q219=Parametres!$G$3),J219,D219)</f>
        <v>-20299.53</v>
      </c>
      <c r="P219" s="155">
        <f>+IF(OR($Q219=Parametres!$G$2,$Q219=Parametres!$G$3),K219,E219)</f>
        <v>-136450.39000000001</v>
      </c>
      <c r="Q219" s="154" t="str">
        <f t="shared" si="17"/>
        <v>5-Ventes</v>
      </c>
      <c r="R219" s="153" t="str">
        <f t="shared" si="18"/>
        <v>4495</v>
      </c>
      <c r="S219" s="154">
        <f t="shared" si="19"/>
        <v>0</v>
      </c>
      <c r="T219" s="156" t="str">
        <f>+VLOOKUP($L219,Data_Validation!$A:$D,1,0)</f>
        <v>4495</v>
      </c>
      <c r="U219" s="156" t="str">
        <f>+VLOOKUP($L219,Data_Validation!$A:$D,3,0)</f>
        <v>Service</v>
      </c>
      <c r="V219" s="156" t="str">
        <f>+VLOOKUP($L219,Data_Validation!$A:$D,4,0)</f>
        <v>Sous-traitement</v>
      </c>
      <c r="W219" s="156" t="str">
        <f>+VLOOKUP($L219,Data_Validation!$A:$E,5,0)</f>
        <v>$</v>
      </c>
      <c r="X219" s="156" t="str">
        <f>+VLOOKUP($L219,Data_Validation!$A:$F,6,0)</f>
        <v>Oui</v>
      </c>
    </row>
    <row r="220" spans="1:24" ht="15" hidden="1" customHeight="1">
      <c r="A220" s="1147" t="s">
        <v>2530</v>
      </c>
      <c r="B220" s="1147" t="s">
        <v>2531</v>
      </c>
      <c r="C220" s="1149"/>
      <c r="D220" s="1149"/>
      <c r="E220" s="1149"/>
      <c r="F220" s="1147" t="s">
        <v>4</v>
      </c>
      <c r="G220" s="1147" t="s">
        <v>2087</v>
      </c>
      <c r="H220" s="1145"/>
      <c r="I220" s="1145">
        <v>-493</v>
      </c>
      <c r="J220" s="1145">
        <v>-85</v>
      </c>
      <c r="K220" s="1145">
        <v>-578</v>
      </c>
      <c r="L220" s="153" t="str">
        <f t="shared" si="15"/>
        <v>4495@</v>
      </c>
      <c r="M220" s="154" t="str">
        <f t="shared" si="16"/>
        <v># DE VTE - S-TRAITANCE MEC.INTERNE VW</v>
      </c>
      <c r="N220" s="155">
        <f>+IF(OR($Q220=Parametres!$G$2,$Q220=Parametres!$G$3),I220,C220)</f>
        <v>-493</v>
      </c>
      <c r="O220" s="1120">
        <f>+IF(OR($Q220=Parametres!$G$2,$Q220=Parametres!$G$3),J220,D220)</f>
        <v>-85</v>
      </c>
      <c r="P220" s="155">
        <f>+IF(OR($Q220=Parametres!$G$2,$Q220=Parametres!$G$3),K220,E220)</f>
        <v>-578</v>
      </c>
      <c r="Q220" s="154" t="str">
        <f t="shared" si="17"/>
        <v>10-Compte compteur</v>
      </c>
      <c r="R220" s="153" t="str">
        <f t="shared" si="18"/>
        <v>4495</v>
      </c>
      <c r="S220" s="154">
        <f t="shared" si="19"/>
        <v>0</v>
      </c>
      <c r="T220" s="156" t="str">
        <f>+VLOOKUP($L220,Data_Validation!$A:$D,1,0)</f>
        <v>4495@</v>
      </c>
      <c r="U220" s="156" t="str">
        <f>+VLOOKUP($L220,Data_Validation!$A:$D,3,0)</f>
        <v>Service</v>
      </c>
      <c r="V220" s="156" t="str">
        <f>+VLOOKUP($L220,Data_Validation!$A:$D,4,0)</f>
        <v>Sous-traitement</v>
      </c>
      <c r="W220" s="156" t="str">
        <f>+VLOOKUP($L220,Data_Validation!$A:$E,5,0)</f>
        <v>NB</v>
      </c>
      <c r="X220" s="156">
        <f>+VLOOKUP($L220,Data_Validation!$A:$F,6,0)</f>
        <v>0</v>
      </c>
    </row>
    <row r="221" spans="1:24" ht="15" hidden="1" customHeight="1">
      <c r="A221" s="1147" t="s">
        <v>2069</v>
      </c>
      <c r="B221" s="1147" t="s">
        <v>2070</v>
      </c>
      <c r="C221" s="1150">
        <v>-180776.16</v>
      </c>
      <c r="D221" s="1150">
        <v>-18349</v>
      </c>
      <c r="E221" s="1150">
        <v>-199125.16</v>
      </c>
      <c r="F221" s="1147" t="s">
        <v>285</v>
      </c>
      <c r="G221" s="1147" t="s">
        <v>2070</v>
      </c>
      <c r="H221" s="1145"/>
      <c r="I221" s="1149"/>
      <c r="J221" s="1149"/>
      <c r="K221" s="1149"/>
      <c r="L221" s="153" t="str">
        <f t="shared" si="15"/>
        <v>4591</v>
      </c>
      <c r="M221" s="154" t="str">
        <f t="shared" si="16"/>
        <v>VTE - S-TRAIT. CARR.</v>
      </c>
      <c r="N221" s="155">
        <f>+IF(OR($Q221=Parametres!$G$2,$Q221=Parametres!$G$3),I221,C221)</f>
        <v>-180776.16</v>
      </c>
      <c r="O221" s="1122">
        <f>+IF(OR($Q221=Parametres!$G$2,$Q221=Parametres!$G$3),J221,D221)</f>
        <v>-18349</v>
      </c>
      <c r="P221" s="155">
        <f>+IF(OR($Q221=Parametres!$G$2,$Q221=Parametres!$G$3),K221,E221)</f>
        <v>-199125.16</v>
      </c>
      <c r="Q221" s="154" t="str">
        <f t="shared" si="17"/>
        <v>5-Ventes</v>
      </c>
      <c r="R221" s="153" t="str">
        <f t="shared" si="18"/>
        <v>4591</v>
      </c>
      <c r="S221" s="154">
        <f t="shared" si="19"/>
        <v>0</v>
      </c>
      <c r="T221" s="156" t="str">
        <f>+VLOOKUP($L221,Data_Validation!$A:$D,1,0)</f>
        <v>4591</v>
      </c>
      <c r="U221" s="156" t="str">
        <f>+VLOOKUP($L221,Data_Validation!$A:$D,3,0)</f>
        <v>Carrosserie</v>
      </c>
      <c r="V221" s="156" t="str">
        <f>+VLOOKUP($L221,Data_Validation!$A:$D,4,0)</f>
        <v>M/O Sous-traitement</v>
      </c>
      <c r="W221" s="156" t="str">
        <f>+VLOOKUP($L221,Data_Validation!$A:$E,5,0)</f>
        <v>$</v>
      </c>
      <c r="X221" s="156" t="str">
        <f>+VLOOKUP($L221,Data_Validation!$A:$F,6,0)</f>
        <v>Oui</v>
      </c>
    </row>
    <row r="222" spans="1:24" ht="15" hidden="1" customHeight="1">
      <c r="A222" s="1147" t="s">
        <v>2532</v>
      </c>
      <c r="B222" s="1147" t="s">
        <v>2533</v>
      </c>
      <c r="C222" s="1149"/>
      <c r="D222" s="1149"/>
      <c r="E222" s="1149"/>
      <c r="F222" s="1147" t="s">
        <v>4</v>
      </c>
      <c r="G222" s="1147" t="s">
        <v>2070</v>
      </c>
      <c r="H222" s="1145"/>
      <c r="I222" s="1145">
        <v>-118</v>
      </c>
      <c r="J222" s="1145">
        <v>-18</v>
      </c>
      <c r="K222" s="1145">
        <v>-136</v>
      </c>
      <c r="L222" s="153" t="str">
        <f t="shared" si="15"/>
        <v>4591@</v>
      </c>
      <c r="M222" s="154" t="str">
        <f t="shared" si="16"/>
        <v>REPARATION SOUS-LOC.-PEINT/DEB</v>
      </c>
      <c r="N222" s="155">
        <f>+IF(OR($Q222=Parametres!$G$2,$Q222=Parametres!$G$3),I222,C222)</f>
        <v>-118</v>
      </c>
      <c r="O222" s="1120">
        <f>+IF(OR($Q222=Parametres!$G$2,$Q222=Parametres!$G$3),J222,D222)</f>
        <v>-18</v>
      </c>
      <c r="P222" s="155">
        <f>+IF(OR($Q222=Parametres!$G$2,$Q222=Parametres!$G$3),K222,E222)</f>
        <v>-136</v>
      </c>
      <c r="Q222" s="154" t="str">
        <f t="shared" si="17"/>
        <v>10-Compte compteur</v>
      </c>
      <c r="R222" s="153" t="str">
        <f t="shared" si="18"/>
        <v>4591</v>
      </c>
      <c r="S222" s="154">
        <f t="shared" si="19"/>
        <v>0</v>
      </c>
      <c r="T222" s="156" t="str">
        <f>+VLOOKUP($L222,Data_Validation!$A:$D,1,0)</f>
        <v>4591@</v>
      </c>
      <c r="U222" s="156" t="str">
        <f>+VLOOKUP($L222,Data_Validation!$A:$D,3,0)</f>
        <v>Carrosserie</v>
      </c>
      <c r="V222" s="156" t="str">
        <f>+VLOOKUP($L222,Data_Validation!$A:$D,4,0)</f>
        <v>M/O Sous-traitement</v>
      </c>
      <c r="W222" s="156" t="str">
        <f>+VLOOKUP($L222,Data_Validation!$A:$E,5,0)</f>
        <v>NB</v>
      </c>
      <c r="X222" s="156">
        <f>+VLOOKUP($L222,Data_Validation!$A:$F,6,0)</f>
        <v>0</v>
      </c>
    </row>
    <row r="223" spans="1:24" ht="15" hidden="1" customHeight="1">
      <c r="A223" s="1147" t="s">
        <v>2067</v>
      </c>
      <c r="B223" s="1147" t="s">
        <v>2068</v>
      </c>
      <c r="C223" s="1150">
        <v>-301162.68</v>
      </c>
      <c r="D223" s="1150">
        <v>-19706.78</v>
      </c>
      <c r="E223" s="1150">
        <v>-320869.46000000002</v>
      </c>
      <c r="F223" s="1147" t="s">
        <v>285</v>
      </c>
      <c r="G223" s="1147" t="s">
        <v>2068</v>
      </c>
      <c r="H223" s="1145"/>
      <c r="I223" s="1149"/>
      <c r="J223" s="1149"/>
      <c r="K223" s="1149"/>
      <c r="L223" s="153" t="str">
        <f t="shared" si="15"/>
        <v>4593</v>
      </c>
      <c r="M223" s="154" t="str">
        <f t="shared" si="16"/>
        <v>VTE - SOUS-TRAITANCE GARANTIE CARR.</v>
      </c>
      <c r="N223" s="155">
        <f>+IF(OR($Q223=Parametres!$G$2,$Q223=Parametres!$G$3),I223,C223)</f>
        <v>-301162.68</v>
      </c>
      <c r="O223" s="1122">
        <f>+IF(OR($Q223=Parametres!$G$2,$Q223=Parametres!$G$3),J223,D223)</f>
        <v>-19706.78</v>
      </c>
      <c r="P223" s="155">
        <f>+IF(OR($Q223=Parametres!$G$2,$Q223=Parametres!$G$3),K223,E223)</f>
        <v>-320869.46000000002</v>
      </c>
      <c r="Q223" s="154" t="str">
        <f t="shared" si="17"/>
        <v>5-Ventes</v>
      </c>
      <c r="R223" s="153" t="str">
        <f t="shared" si="18"/>
        <v>4593</v>
      </c>
      <c r="S223" s="154">
        <f t="shared" si="19"/>
        <v>0</v>
      </c>
      <c r="T223" s="156" t="str">
        <f>+VLOOKUP($L223,Data_Validation!$A:$D,1,0)</f>
        <v>4593</v>
      </c>
      <c r="U223" s="156" t="str">
        <f>+VLOOKUP($L223,Data_Validation!$A:$D,3,0)</f>
        <v>Carrosserie</v>
      </c>
      <c r="V223" s="156" t="str">
        <f>+VLOOKUP($L223,Data_Validation!$A:$D,4,0)</f>
        <v>M/O Sous-traitement</v>
      </c>
      <c r="W223" s="156" t="str">
        <f>+VLOOKUP($L223,Data_Validation!$A:$E,5,0)</f>
        <v>$</v>
      </c>
      <c r="X223" s="156" t="str">
        <f>+VLOOKUP($L223,Data_Validation!$A:$F,6,0)</f>
        <v>Oui</v>
      </c>
    </row>
    <row r="224" spans="1:24" ht="15" hidden="1" customHeight="1">
      <c r="A224" s="1147" t="s">
        <v>2534</v>
      </c>
      <c r="B224" s="1147" t="s">
        <v>2535</v>
      </c>
      <c r="C224" s="1149"/>
      <c r="D224" s="1149"/>
      <c r="E224" s="1149"/>
      <c r="F224" s="1147" t="s">
        <v>4</v>
      </c>
      <c r="G224" s="1147" t="s">
        <v>2068</v>
      </c>
      <c r="H224" s="1145"/>
      <c r="I224" s="1145">
        <v>-147</v>
      </c>
      <c r="J224" s="1145">
        <v>-11</v>
      </c>
      <c r="K224" s="1145">
        <v>-158</v>
      </c>
      <c r="L224" s="153" t="str">
        <f t="shared" si="15"/>
        <v>4593@</v>
      </c>
      <c r="M224" s="154" t="str">
        <f t="shared" si="16"/>
        <v># DE VTE - S-TRAITANCE GAR.CARR.</v>
      </c>
      <c r="N224" s="155">
        <f>+IF(OR($Q224=Parametres!$G$2,$Q224=Parametres!$G$3),I224,C224)</f>
        <v>-147</v>
      </c>
      <c r="O224" s="1122">
        <f>+IF(OR($Q224=Parametres!$G$2,$Q224=Parametres!$G$3),J224,D224)</f>
        <v>-11</v>
      </c>
      <c r="P224" s="155">
        <f>+IF(OR($Q224=Parametres!$G$2,$Q224=Parametres!$G$3),K224,E224)</f>
        <v>-158</v>
      </c>
      <c r="Q224" s="154" t="str">
        <f t="shared" si="17"/>
        <v>10-Compte compteur</v>
      </c>
      <c r="R224" s="153" t="str">
        <f t="shared" si="18"/>
        <v>4593</v>
      </c>
      <c r="S224" s="154">
        <f t="shared" si="19"/>
        <v>0</v>
      </c>
      <c r="T224" s="156" t="str">
        <f>+VLOOKUP($L224,Data_Validation!$A:$D,1,0)</f>
        <v>4593@</v>
      </c>
      <c r="U224" s="156" t="str">
        <f>+VLOOKUP($L224,Data_Validation!$A:$D,3,0)</f>
        <v>Carrosserie</v>
      </c>
      <c r="V224" s="156" t="str">
        <f>+VLOOKUP($L224,Data_Validation!$A:$D,4,0)</f>
        <v>M/O Sous-traitement</v>
      </c>
      <c r="W224" s="156" t="str">
        <f>+VLOOKUP($L224,Data_Validation!$A:$E,5,0)</f>
        <v>NB</v>
      </c>
      <c r="X224" s="156">
        <f>+VLOOKUP($L224,Data_Validation!$A:$F,6,0)</f>
        <v>0</v>
      </c>
    </row>
    <row r="225" spans="1:24" ht="15.75" hidden="1" customHeight="1">
      <c r="A225" s="1147" t="s">
        <v>2100</v>
      </c>
      <c r="B225" s="1147" t="s">
        <v>2101</v>
      </c>
      <c r="C225" s="1150">
        <v>-32384.92</v>
      </c>
      <c r="D225" s="1150">
        <v>-16753.66</v>
      </c>
      <c r="E225" s="1150">
        <v>-49138.58</v>
      </c>
      <c r="F225" s="1147" t="s">
        <v>285</v>
      </c>
      <c r="G225" s="1147" t="s">
        <v>2101</v>
      </c>
      <c r="H225" s="1145"/>
      <c r="I225" s="1149"/>
      <c r="J225" s="1149"/>
      <c r="K225" s="1149"/>
      <c r="L225" s="153" t="str">
        <f t="shared" si="15"/>
        <v>4595</v>
      </c>
      <c r="M225" s="154" t="str">
        <f t="shared" si="16"/>
        <v>VTE - SOUS-TRAITANCE INTERNE CARR.</v>
      </c>
      <c r="N225" s="155">
        <f>+IF(OR($Q225=Parametres!$G$2,$Q225=Parametres!$G$3),I225,C225)</f>
        <v>-32384.92</v>
      </c>
      <c r="O225" s="1123">
        <f>+IF(OR($Q225=Parametres!$G$2,$Q225=Parametres!$G$3),J225,D225)</f>
        <v>-16753.66</v>
      </c>
      <c r="P225" s="155">
        <f>+IF(OR($Q225=Parametres!$G$2,$Q225=Parametres!$G$3),K225,E225)</f>
        <v>-49138.58</v>
      </c>
      <c r="Q225" s="154" t="str">
        <f t="shared" si="17"/>
        <v>5-Ventes</v>
      </c>
      <c r="R225" s="153" t="str">
        <f t="shared" si="18"/>
        <v>4595</v>
      </c>
      <c r="S225" s="154">
        <f t="shared" si="19"/>
        <v>0</v>
      </c>
      <c r="T225" s="156" t="str">
        <f>+VLOOKUP($L225,Data_Validation!$A:$D,1,0)</f>
        <v>4595</v>
      </c>
      <c r="U225" s="156" t="str">
        <f>+VLOOKUP($L225,Data_Validation!$A:$D,3,0)</f>
        <v>Carrosserie</v>
      </c>
      <c r="V225" s="156" t="str">
        <f>+VLOOKUP($L225,Data_Validation!$A:$D,4,0)</f>
        <v>M/O Sous-traitement</v>
      </c>
      <c r="W225" s="156" t="str">
        <f>+VLOOKUP($L225,Data_Validation!$A:$E,5,0)</f>
        <v>$</v>
      </c>
      <c r="X225" s="156" t="str">
        <f>+VLOOKUP($L225,Data_Validation!$A:$F,6,0)</f>
        <v>Oui</v>
      </c>
    </row>
    <row r="226" spans="1:24" ht="15" hidden="1" customHeight="1">
      <c r="A226" s="1147" t="s">
        <v>2536</v>
      </c>
      <c r="B226" s="1147" t="s">
        <v>2537</v>
      </c>
      <c r="C226" s="1149"/>
      <c r="D226" s="1149"/>
      <c r="E226" s="1149"/>
      <c r="F226" s="1147" t="s">
        <v>4</v>
      </c>
      <c r="G226" s="1147" t="s">
        <v>2101</v>
      </c>
      <c r="H226" s="1145"/>
      <c r="I226" s="1145">
        <v>-86</v>
      </c>
      <c r="J226" s="1145">
        <v>-29</v>
      </c>
      <c r="K226" s="1145">
        <v>-115</v>
      </c>
      <c r="L226" s="153" t="str">
        <f t="shared" si="15"/>
        <v>4595@</v>
      </c>
      <c r="M226" s="154" t="str">
        <f t="shared" si="16"/>
        <v># DE VTE - S-TRAIT.INTERNE CARR.</v>
      </c>
      <c r="N226" s="155">
        <f>+IF(OR($Q226=Parametres!$G$2,$Q226=Parametres!$G$3),I226,C226)</f>
        <v>-86</v>
      </c>
      <c r="O226" s="1122">
        <f>+IF(OR($Q226=Parametres!$G$2,$Q226=Parametres!$G$3),J226,D226)</f>
        <v>-29</v>
      </c>
      <c r="P226" s="155">
        <f>+IF(OR($Q226=Parametres!$G$2,$Q226=Parametres!$G$3),K226,E226)</f>
        <v>-115</v>
      </c>
      <c r="Q226" s="154" t="str">
        <f t="shared" si="17"/>
        <v>10-Compte compteur</v>
      </c>
      <c r="R226" s="153" t="str">
        <f t="shared" si="18"/>
        <v>4595</v>
      </c>
      <c r="S226" s="154">
        <f t="shared" si="19"/>
        <v>0</v>
      </c>
      <c r="T226" s="156" t="str">
        <f>+VLOOKUP($L226,Data_Validation!$A:$D,1,0)</f>
        <v>4595@</v>
      </c>
      <c r="U226" s="156" t="str">
        <f>+VLOOKUP($L226,Data_Validation!$A:$D,3,0)</f>
        <v>Carrosserie</v>
      </c>
      <c r="V226" s="156" t="str">
        <f>+VLOOKUP($L226,Data_Validation!$A:$D,4,0)</f>
        <v>M/O Sous-traitement</v>
      </c>
      <c r="W226" s="156" t="str">
        <f>+VLOOKUP($L226,Data_Validation!$A:$E,5,0)</f>
        <v>NB</v>
      </c>
      <c r="X226" s="156">
        <f>+VLOOKUP($L226,Data_Validation!$A:$F,6,0)</f>
        <v>0</v>
      </c>
    </row>
    <row r="227" spans="1:24" ht="15" hidden="1" customHeight="1">
      <c r="A227" s="1147" t="s">
        <v>2023</v>
      </c>
      <c r="B227" s="1147" t="s">
        <v>2024</v>
      </c>
      <c r="C227" s="1150">
        <v>-329571.36</v>
      </c>
      <c r="D227" s="1150">
        <v>-69740.91</v>
      </c>
      <c r="E227" s="1150">
        <v>-399312.27</v>
      </c>
      <c r="F227" s="1147" t="s">
        <v>285</v>
      </c>
      <c r="G227" s="1147" t="s">
        <v>2024</v>
      </c>
      <c r="H227" s="1145"/>
      <c r="I227" s="1149"/>
      <c r="J227" s="1149"/>
      <c r="K227" s="1149"/>
      <c r="L227" s="153" t="str">
        <f t="shared" si="15"/>
        <v>4701</v>
      </c>
      <c r="M227" s="154" t="str">
        <f t="shared" si="16"/>
        <v>VTE - PIECE/ACC B.R. CLIENT VW</v>
      </c>
      <c r="N227" s="155">
        <f>+IF(OR($Q227=Parametres!$G$2,$Q227=Parametres!$G$3),I227,C227)</f>
        <v>-329571.36</v>
      </c>
      <c r="O227" s="1122">
        <f>+IF(OR($Q227=Parametres!$G$2,$Q227=Parametres!$G$3),J227,D227)</f>
        <v>-69740.91</v>
      </c>
      <c r="P227" s="155">
        <f>+IF(OR($Q227=Parametres!$G$2,$Q227=Parametres!$G$3),K227,E227)</f>
        <v>-399312.27</v>
      </c>
      <c r="Q227" s="154" t="str">
        <f t="shared" si="17"/>
        <v>5-Ventes</v>
      </c>
      <c r="R227" s="153" t="str">
        <f t="shared" si="18"/>
        <v>4701</v>
      </c>
      <c r="S227" s="154">
        <f t="shared" si="19"/>
        <v>0</v>
      </c>
      <c r="T227" s="156" t="str">
        <f>+VLOOKUP($L227,Data_Validation!$A:$D,1,0)</f>
        <v>4701</v>
      </c>
      <c r="U227" s="156" t="str">
        <f>+VLOOKUP($L227,Data_Validation!$A:$D,3,0)</f>
        <v>Pièces</v>
      </c>
      <c r="V227" s="156" t="str">
        <f>+VLOOKUP($L227,Data_Validation!$A:$D,4,0)</f>
        <v>Pièces Ro Clients</v>
      </c>
      <c r="W227" s="156" t="str">
        <f>+VLOOKUP($L227,Data_Validation!$A:$E,5,0)</f>
        <v>$</v>
      </c>
      <c r="X227" s="156" t="str">
        <f>+VLOOKUP($L227,Data_Validation!$A:$F,6,0)</f>
        <v>Oui</v>
      </c>
    </row>
    <row r="228" spans="1:24" ht="15" hidden="1" customHeight="1">
      <c r="A228" s="1147" t="s">
        <v>2538</v>
      </c>
      <c r="B228" s="1147" t="s">
        <v>2539</v>
      </c>
      <c r="C228" s="1149"/>
      <c r="D228" s="1149"/>
      <c r="E228" s="1149"/>
      <c r="F228" s="1147" t="s">
        <v>4</v>
      </c>
      <c r="G228" s="1147" t="s">
        <v>2024</v>
      </c>
      <c r="H228" s="1145"/>
      <c r="I228" s="1150">
        <v>-2365</v>
      </c>
      <c r="J228" s="1145">
        <v>-292</v>
      </c>
      <c r="K228" s="1150">
        <v>-2657</v>
      </c>
      <c r="L228" s="153" t="str">
        <f t="shared" si="15"/>
        <v>4701@</v>
      </c>
      <c r="M228" s="154" t="str">
        <f t="shared" si="16"/>
        <v>PIECES-BON REPARATION- CLIENTS</v>
      </c>
      <c r="N228" s="155">
        <f>+IF(OR($Q228=Parametres!$G$2,$Q228=Parametres!$G$3),I228,C228)</f>
        <v>-2365</v>
      </c>
      <c r="O228" s="1122">
        <f>+IF(OR($Q228=Parametres!$G$2,$Q228=Parametres!$G$3),J228,D228)</f>
        <v>-292</v>
      </c>
      <c r="P228" s="155">
        <f>+IF(OR($Q228=Parametres!$G$2,$Q228=Parametres!$G$3),K228,E228)</f>
        <v>-2657</v>
      </c>
      <c r="Q228" s="154" t="str">
        <f t="shared" si="17"/>
        <v>10-Compte compteur</v>
      </c>
      <c r="R228" s="153" t="str">
        <f t="shared" si="18"/>
        <v>4701</v>
      </c>
      <c r="S228" s="154">
        <f t="shared" si="19"/>
        <v>0</v>
      </c>
      <c r="T228" s="156" t="str">
        <f>+VLOOKUP($L228,Data_Validation!$A:$D,1,0)</f>
        <v>4701@</v>
      </c>
      <c r="U228" s="156" t="str">
        <f>+VLOOKUP($L228,Data_Validation!$A:$D,3,0)</f>
        <v>Pièces</v>
      </c>
      <c r="V228" s="156" t="str">
        <f>+VLOOKUP($L228,Data_Validation!$A:$D,4,0)</f>
        <v>Pièces Ro Clients</v>
      </c>
      <c r="W228" s="156" t="str">
        <f>+VLOOKUP($L228,Data_Validation!$A:$E,5,0)</f>
        <v>NB</v>
      </c>
      <c r="X228" s="156">
        <f>+VLOOKUP($L228,Data_Validation!$A:$F,6,0)</f>
        <v>0</v>
      </c>
    </row>
    <row r="229" spans="1:24" ht="15.75" hidden="1" customHeight="1">
      <c r="A229" s="1147" t="s">
        <v>2150</v>
      </c>
      <c r="B229" s="1147" t="s">
        <v>2151</v>
      </c>
      <c r="C229" s="1150">
        <v>-3287.75</v>
      </c>
      <c r="D229" s="1150">
        <v>-614.19000000000005</v>
      </c>
      <c r="E229" s="1150">
        <v>-3901.94</v>
      </c>
      <c r="F229" s="1147" t="s">
        <v>285</v>
      </c>
      <c r="G229" s="1147" t="s">
        <v>2151</v>
      </c>
      <c r="H229" s="1145"/>
      <c r="I229" s="1149"/>
      <c r="J229" s="1149"/>
      <c r="K229" s="1149"/>
      <c r="L229" s="153" t="str">
        <f t="shared" si="15"/>
        <v>4702</v>
      </c>
      <c r="M229" s="154" t="str">
        <f t="shared" si="16"/>
        <v>VTE - SHOP SUPPLY VW</v>
      </c>
      <c r="N229" s="155">
        <f>+IF(OR($Q229=Parametres!$G$2,$Q229=Parametres!$G$3),I229,C229)</f>
        <v>-3287.75</v>
      </c>
      <c r="O229" s="1120">
        <f>+IF(OR($Q229=Parametres!$G$2,$Q229=Parametres!$G$3),J229,D229)</f>
        <v>-614.19000000000005</v>
      </c>
      <c r="P229" s="155">
        <f>+IF(OR($Q229=Parametres!$G$2,$Q229=Parametres!$G$3),K229,E229)</f>
        <v>-3901.94</v>
      </c>
      <c r="Q229" s="154" t="str">
        <f t="shared" si="17"/>
        <v>5-Ventes</v>
      </c>
      <c r="R229" s="153" t="str">
        <f t="shared" si="18"/>
        <v>4702</v>
      </c>
      <c r="S229" s="154">
        <f t="shared" si="19"/>
        <v>0</v>
      </c>
      <c r="T229" s="156" t="str">
        <f>+VLOOKUP($L229,Data_Validation!$A:$D,1,0)</f>
        <v>4702</v>
      </c>
      <c r="U229" s="156" t="str">
        <f>+VLOOKUP($L229,Data_Validation!$A:$D,3,0)</f>
        <v>Service</v>
      </c>
      <c r="V229" s="156" t="str">
        <f>+VLOOKUP($L229,Data_Validation!$A:$D,4,0)</f>
        <v>M/O Client</v>
      </c>
      <c r="W229" s="156" t="str">
        <f>+VLOOKUP($L229,Data_Validation!$A:$E,5,0)</f>
        <v>$</v>
      </c>
      <c r="X229" s="156" t="str">
        <f>+VLOOKUP($L229,Data_Validation!$A:$F,6,0)</f>
        <v>Oui</v>
      </c>
    </row>
    <row r="230" spans="1:24" ht="15" hidden="1" customHeight="1">
      <c r="A230" s="1147" t="s">
        <v>2043</v>
      </c>
      <c r="B230" s="1147" t="s">
        <v>2044</v>
      </c>
      <c r="C230" s="1149">
        <v>-470473.5</v>
      </c>
      <c r="D230" s="1149">
        <v>-64208.3</v>
      </c>
      <c r="E230" s="1149">
        <v>-534681.80000000005</v>
      </c>
      <c r="F230" s="1147" t="s">
        <v>285</v>
      </c>
      <c r="G230" s="1147" t="s">
        <v>2044</v>
      </c>
      <c r="H230" s="1145"/>
      <c r="I230" s="1150"/>
      <c r="J230" s="1145"/>
      <c r="K230" s="1150"/>
      <c r="L230" s="153" t="str">
        <f t="shared" si="15"/>
        <v>4703</v>
      </c>
      <c r="M230" s="154" t="str">
        <f t="shared" si="16"/>
        <v>VTE - PIECE/ACC B.R. GARANTIE VW</v>
      </c>
      <c r="N230" s="155">
        <f>+IF(OR($Q230=Parametres!$G$2,$Q230=Parametres!$G$3),I230,C230)</f>
        <v>-470473.5</v>
      </c>
      <c r="O230" s="1122">
        <f>+IF(OR($Q230=Parametres!$G$2,$Q230=Parametres!$G$3),J230,D230)</f>
        <v>-64208.3</v>
      </c>
      <c r="P230" s="155">
        <f>+IF(OR($Q230=Parametres!$G$2,$Q230=Parametres!$G$3),K230,E230)</f>
        <v>-534681.80000000005</v>
      </c>
      <c r="Q230" s="154" t="str">
        <f t="shared" si="17"/>
        <v>5-Ventes</v>
      </c>
      <c r="R230" s="153" t="str">
        <f t="shared" si="18"/>
        <v>4703</v>
      </c>
      <c r="S230" s="154">
        <f t="shared" si="19"/>
        <v>0</v>
      </c>
      <c r="T230" s="156" t="str">
        <f>+VLOOKUP($L230,Data_Validation!$A:$D,1,0)</f>
        <v>4703</v>
      </c>
      <c r="U230" s="156" t="str">
        <f>+VLOOKUP($L230,Data_Validation!$A:$D,3,0)</f>
        <v>Pièces</v>
      </c>
      <c r="V230" s="156" t="str">
        <f>+VLOOKUP($L230,Data_Validation!$A:$D,4,0)</f>
        <v>P/A Garantie</v>
      </c>
      <c r="W230" s="156" t="str">
        <f>+VLOOKUP($L230,Data_Validation!$A:$E,5,0)</f>
        <v>$</v>
      </c>
      <c r="X230" s="156" t="str">
        <f>+VLOOKUP($L230,Data_Validation!$A:$F,6,0)</f>
        <v>Oui</v>
      </c>
    </row>
    <row r="231" spans="1:24" ht="15" hidden="1" customHeight="1">
      <c r="A231" s="1147" t="s">
        <v>2540</v>
      </c>
      <c r="B231" s="1147" t="s">
        <v>2541</v>
      </c>
      <c r="C231" s="1150"/>
      <c r="D231" s="1145"/>
      <c r="E231" s="1150"/>
      <c r="F231" s="1147" t="s">
        <v>4</v>
      </c>
      <c r="G231" s="1147" t="s">
        <v>2044</v>
      </c>
      <c r="H231" s="1145"/>
      <c r="I231" s="1149">
        <v>-924</v>
      </c>
      <c r="J231" s="1149">
        <v>-144</v>
      </c>
      <c r="K231" s="1149">
        <v>-1068</v>
      </c>
      <c r="L231" s="153" t="str">
        <f t="shared" si="15"/>
        <v>4703@</v>
      </c>
      <c r="M231" s="154" t="str">
        <f t="shared" si="16"/>
        <v>PIECES-BON REPARATION-GAR. MAN</v>
      </c>
      <c r="N231" s="155">
        <f>+IF(OR($Q231=Parametres!$G$2,$Q231=Parametres!$G$3),I231,C231)</f>
        <v>-924</v>
      </c>
      <c r="O231" s="1122">
        <f>+IF(OR($Q231=Parametres!$G$2,$Q231=Parametres!$G$3),J231,D231)</f>
        <v>-144</v>
      </c>
      <c r="P231" s="155">
        <f>+IF(OR($Q231=Parametres!$G$2,$Q231=Parametres!$G$3),K231,E231)</f>
        <v>-1068</v>
      </c>
      <c r="Q231" s="154" t="str">
        <f t="shared" si="17"/>
        <v>10-Compte compteur</v>
      </c>
      <c r="R231" s="153" t="str">
        <f t="shared" si="18"/>
        <v>4703</v>
      </c>
      <c r="S231" s="154">
        <f t="shared" si="19"/>
        <v>0</v>
      </c>
      <c r="T231" s="156" t="str">
        <f>+VLOOKUP($L231,Data_Validation!$A:$D,1,0)</f>
        <v>4703@</v>
      </c>
      <c r="U231" s="156" t="str">
        <f>+VLOOKUP($L231,Data_Validation!$A:$D,3,0)</f>
        <v>Pièces</v>
      </c>
      <c r="V231" s="156" t="str">
        <f>+VLOOKUP($L231,Data_Validation!$A:$D,4,0)</f>
        <v>P/A Garantie</v>
      </c>
      <c r="W231" s="156" t="str">
        <f>+VLOOKUP($L231,Data_Validation!$A:$E,5,0)</f>
        <v>NB</v>
      </c>
      <c r="X231" s="156">
        <f>+VLOOKUP($L231,Data_Validation!$A:$F,6,0)</f>
        <v>0</v>
      </c>
    </row>
    <row r="232" spans="1:24" ht="15" hidden="1" customHeight="1">
      <c r="A232" s="1147" t="s">
        <v>2047</v>
      </c>
      <c r="B232" s="1147" t="s">
        <v>2048</v>
      </c>
      <c r="C232" s="1149">
        <v>-290565.03999999998</v>
      </c>
      <c r="D232" s="1149">
        <v>-50091.519999999997</v>
      </c>
      <c r="E232" s="1149">
        <v>-340656.56</v>
      </c>
      <c r="F232" s="1147" t="s">
        <v>285</v>
      </c>
      <c r="G232" s="1147" t="s">
        <v>2048</v>
      </c>
      <c r="H232" s="1145"/>
      <c r="I232" s="1145"/>
      <c r="J232" s="1145"/>
      <c r="K232" s="1145"/>
      <c r="L232" s="153" t="str">
        <f t="shared" si="15"/>
        <v>4705</v>
      </c>
      <c r="M232" s="154" t="str">
        <f t="shared" si="16"/>
        <v>VTE - PIECE/ACC B.R. INTERNE VW</v>
      </c>
      <c r="N232" s="155">
        <f>+IF(OR($Q232=Parametres!$G$2,$Q232=Parametres!$G$3),I232,C232)</f>
        <v>-290565.03999999998</v>
      </c>
      <c r="O232" s="1122">
        <f>+IF(OR($Q232=Parametres!$G$2,$Q232=Parametres!$G$3),J232,D232)</f>
        <v>-50091.519999999997</v>
      </c>
      <c r="P232" s="155">
        <f>+IF(OR($Q232=Parametres!$G$2,$Q232=Parametres!$G$3),K232,E232)</f>
        <v>-340656.56</v>
      </c>
      <c r="Q232" s="154" t="str">
        <f t="shared" si="17"/>
        <v>5-Ventes</v>
      </c>
      <c r="R232" s="153" t="str">
        <f t="shared" si="18"/>
        <v>4705</v>
      </c>
      <c r="S232" s="154">
        <f t="shared" si="19"/>
        <v>0</v>
      </c>
      <c r="T232" s="156" t="str">
        <f>+VLOOKUP($L232,Data_Validation!$A:$D,1,0)</f>
        <v>4705</v>
      </c>
      <c r="U232" s="156" t="str">
        <f>+VLOOKUP($L232,Data_Validation!$A:$D,3,0)</f>
        <v>Pièces</v>
      </c>
      <c r="V232" s="156" t="str">
        <f>+VLOOKUP($L232,Data_Validation!$A:$D,4,0)</f>
        <v>Ventes Internes</v>
      </c>
      <c r="W232" s="156" t="str">
        <f>+VLOOKUP($L232,Data_Validation!$A:$E,5,0)</f>
        <v>$</v>
      </c>
      <c r="X232" s="156" t="str">
        <f>+VLOOKUP($L232,Data_Validation!$A:$F,6,0)</f>
        <v>Oui</v>
      </c>
    </row>
    <row r="233" spans="1:24" ht="15" hidden="1" customHeight="1">
      <c r="A233" s="1147" t="s">
        <v>2542</v>
      </c>
      <c r="B233" s="1147" t="s">
        <v>2543</v>
      </c>
      <c r="C233" s="1145"/>
      <c r="D233" s="1145"/>
      <c r="E233" s="1145"/>
      <c r="F233" s="1147" t="s">
        <v>4</v>
      </c>
      <c r="G233" s="1147" t="s">
        <v>2048</v>
      </c>
      <c r="H233" s="1145"/>
      <c r="I233" s="1149">
        <v>-1656</v>
      </c>
      <c r="J233" s="1149">
        <v>-275</v>
      </c>
      <c r="K233" s="1149">
        <v>-1931</v>
      </c>
      <c r="L233" s="153" t="str">
        <f t="shared" si="15"/>
        <v>4705@</v>
      </c>
      <c r="M233" s="154" t="str">
        <f t="shared" si="16"/>
        <v>PIECES-BON REPARATION - INTERN</v>
      </c>
      <c r="N233" s="155">
        <f>+IF(OR($Q233=Parametres!$G$2,$Q233=Parametres!$G$3),I233,C233)</f>
        <v>-1656</v>
      </c>
      <c r="O233" s="1122">
        <f>+IF(OR($Q233=Parametres!$G$2,$Q233=Parametres!$G$3),J233,D233)</f>
        <v>-275</v>
      </c>
      <c r="P233" s="155">
        <f>+IF(OR($Q233=Parametres!$G$2,$Q233=Parametres!$G$3),K233,E233)</f>
        <v>-1931</v>
      </c>
      <c r="Q233" s="154" t="str">
        <f t="shared" si="17"/>
        <v>10-Compte compteur</v>
      </c>
      <c r="R233" s="153" t="str">
        <f t="shared" si="18"/>
        <v>4705</v>
      </c>
      <c r="S233" s="154">
        <f t="shared" si="19"/>
        <v>0</v>
      </c>
      <c r="T233" s="156" t="str">
        <f>+VLOOKUP($L233,Data_Validation!$A:$D,1,0)</f>
        <v>4705@</v>
      </c>
      <c r="U233" s="156" t="str">
        <f>+VLOOKUP($L233,Data_Validation!$A:$D,3,0)</f>
        <v>Pièces</v>
      </c>
      <c r="V233" s="156" t="str">
        <f>+VLOOKUP($L233,Data_Validation!$A:$D,4,0)</f>
        <v>Ventes Internes</v>
      </c>
      <c r="W233" s="156" t="str">
        <f>+VLOOKUP($L233,Data_Validation!$A:$E,5,0)</f>
        <v>NB</v>
      </c>
      <c r="X233" s="156">
        <f>+VLOOKUP($L233,Data_Validation!$A:$F,6,0)</f>
        <v>0</v>
      </c>
    </row>
    <row r="234" spans="1:24" ht="15.75" hidden="1" customHeight="1">
      <c r="A234" s="1147" t="s">
        <v>2150</v>
      </c>
      <c r="B234" s="1147" t="s">
        <v>2169</v>
      </c>
      <c r="C234" s="1149">
        <v>-3937.79</v>
      </c>
      <c r="D234" s="1149">
        <v>-335.19</v>
      </c>
      <c r="E234" s="1149">
        <v>-4272.9799999999996</v>
      </c>
      <c r="F234" s="1147" t="s">
        <v>285</v>
      </c>
      <c r="G234" s="1147" t="s">
        <v>2169</v>
      </c>
      <c r="H234" s="1145"/>
      <c r="I234" s="1145"/>
      <c r="J234" s="1145"/>
      <c r="K234" s="1145"/>
      <c r="L234" s="153" t="str">
        <f t="shared" si="15"/>
        <v>4706</v>
      </c>
      <c r="M234" s="154" t="str">
        <f t="shared" si="16"/>
        <v>VTE - SHOP SUPPLY VW</v>
      </c>
      <c r="N234" s="155">
        <f>+IF(OR($Q234=Parametres!$G$2,$Q234=Parametres!$G$3),I234,C234)</f>
        <v>-3937.79</v>
      </c>
      <c r="O234" s="1122">
        <f>+IF(OR($Q234=Parametres!$G$2,$Q234=Parametres!$G$3),J234,D234)</f>
        <v>-335.19</v>
      </c>
      <c r="P234" s="155">
        <f>+IF(OR($Q234=Parametres!$G$2,$Q234=Parametres!$G$3),K234,E234)</f>
        <v>-4272.9799999999996</v>
      </c>
      <c r="Q234" s="154" t="str">
        <f t="shared" si="17"/>
        <v>5-Ventes</v>
      </c>
      <c r="R234" s="153" t="str">
        <f t="shared" si="18"/>
        <v>4706</v>
      </c>
      <c r="S234" s="154">
        <f t="shared" si="19"/>
        <v>0</v>
      </c>
      <c r="T234" s="156" t="str">
        <f>+VLOOKUP($L234,Data_Validation!$A:$D,1,0)</f>
        <v>4706</v>
      </c>
      <c r="U234" s="156" t="str">
        <f>+VLOOKUP($L234,Data_Validation!$A:$D,3,0)</f>
        <v>Service</v>
      </c>
      <c r="V234" s="156" t="str">
        <f>+VLOOKUP($L234,Data_Validation!$A:$D,4,0)</f>
        <v>M/O Interne</v>
      </c>
      <c r="W234" s="156" t="str">
        <f>+VLOOKUP($L234,Data_Validation!$A:$E,5,0)</f>
        <v>$</v>
      </c>
      <c r="X234" s="156" t="str">
        <f>+VLOOKUP($L234,Data_Validation!$A:$F,6,0)</f>
        <v>Oui</v>
      </c>
    </row>
    <row r="235" spans="1:24" ht="15" hidden="1" customHeight="1">
      <c r="A235" s="1147" t="s">
        <v>2114</v>
      </c>
      <c r="B235" s="1147" t="s">
        <v>2115</v>
      </c>
      <c r="C235" s="1150">
        <v>-24232.78</v>
      </c>
      <c r="D235" s="1150">
        <v>-4176.58</v>
      </c>
      <c r="E235" s="1150">
        <v>-28409.360000000001</v>
      </c>
      <c r="F235" s="1147" t="s">
        <v>285</v>
      </c>
      <c r="G235" s="1147" t="s">
        <v>335</v>
      </c>
      <c r="H235" s="1145"/>
      <c r="I235" s="1149"/>
      <c r="J235" s="1149"/>
      <c r="K235" s="1149"/>
      <c r="L235" s="153" t="str">
        <f t="shared" si="15"/>
        <v>4711</v>
      </c>
      <c r="M235" s="154" t="str">
        <f t="shared" si="16"/>
        <v>VTE - AUTRE PIECE/ACC/CARR B.R. CLIENT</v>
      </c>
      <c r="N235" s="155">
        <f>+IF(OR($Q235=Parametres!$G$2,$Q235=Parametres!$G$3),I235,C235)</f>
        <v>-24232.78</v>
      </c>
      <c r="O235" s="1122">
        <f>+IF(OR($Q235=Parametres!$G$2,$Q235=Parametres!$G$3),J235,D235)</f>
        <v>-4176.58</v>
      </c>
      <c r="P235" s="155">
        <f>+IF(OR($Q235=Parametres!$G$2,$Q235=Parametres!$G$3),K235,E235)</f>
        <v>-28409.360000000001</v>
      </c>
      <c r="Q235" s="154" t="str">
        <f t="shared" si="17"/>
        <v>5-Ventes</v>
      </c>
      <c r="R235" s="153" t="str">
        <f t="shared" si="18"/>
        <v>84711</v>
      </c>
      <c r="S235" s="154">
        <f t="shared" si="19"/>
        <v>0</v>
      </c>
      <c r="T235" s="156" t="str">
        <f>+VLOOKUP($L235,Data_Validation!$A:$D,1,0)</f>
        <v>4711</v>
      </c>
      <c r="U235" s="156" t="str">
        <f>+VLOOKUP($L235,Data_Validation!$A:$D,3,0)</f>
        <v>Pièces</v>
      </c>
      <c r="V235" s="156" t="str">
        <f>+VLOOKUP($L235,Data_Validation!$A:$D,4,0)</f>
        <v>Pièces Ro Clients</v>
      </c>
      <c r="W235" s="156" t="str">
        <f>+VLOOKUP($L235,Data_Validation!$A:$E,5,0)</f>
        <v>$</v>
      </c>
      <c r="X235" s="156" t="str">
        <f>+VLOOKUP($L235,Data_Validation!$A:$F,6,0)</f>
        <v>Oui</v>
      </c>
    </row>
    <row r="236" spans="1:24" ht="15" hidden="1" customHeight="1">
      <c r="A236" s="1147" t="s">
        <v>2544</v>
      </c>
      <c r="B236" s="1147" t="s">
        <v>2545</v>
      </c>
      <c r="C236" s="1149"/>
      <c r="D236" s="1149"/>
      <c r="E236" s="1149"/>
      <c r="F236" s="1147" t="s">
        <v>4</v>
      </c>
      <c r="G236" s="1147" t="s">
        <v>335</v>
      </c>
      <c r="H236" s="1145"/>
      <c r="I236" s="1145">
        <v>-614</v>
      </c>
      <c r="J236" s="1145">
        <v>-131</v>
      </c>
      <c r="K236" s="1145">
        <v>-745</v>
      </c>
      <c r="L236" s="153" t="str">
        <f t="shared" si="15"/>
        <v>4711@</v>
      </c>
      <c r="M236" s="154" t="str">
        <f t="shared" si="16"/>
        <v># DE VTE - P&amp;A B.T. CLIENT AUDI</v>
      </c>
      <c r="N236" s="155">
        <f>+IF(OR($Q236=Parametres!$G$2,$Q236=Parametres!$G$3),I236,C236)</f>
        <v>-614</v>
      </c>
      <c r="O236" s="1122">
        <f>+IF(OR($Q236=Parametres!$G$2,$Q236=Parametres!$G$3),J236,D236)</f>
        <v>-131</v>
      </c>
      <c r="P236" s="155">
        <f>+IF(OR($Q236=Parametres!$G$2,$Q236=Parametres!$G$3),K236,E236)</f>
        <v>-745</v>
      </c>
      <c r="Q236" s="154" t="str">
        <f t="shared" si="17"/>
        <v>10-Compte compteur</v>
      </c>
      <c r="R236" s="153" t="str">
        <f t="shared" si="18"/>
        <v>84711</v>
      </c>
      <c r="S236" s="154">
        <f t="shared" si="19"/>
        <v>0</v>
      </c>
      <c r="T236" s="156" t="str">
        <f>+VLOOKUP($L236,Data_Validation!$A:$D,1,0)</f>
        <v>4711@</v>
      </c>
      <c r="U236" s="156" t="str">
        <f>+VLOOKUP($L236,Data_Validation!$A:$D,3,0)</f>
        <v>Pièces</v>
      </c>
      <c r="V236" s="156" t="str">
        <f>+VLOOKUP($L236,Data_Validation!$A:$D,4,0)</f>
        <v>Pièces Ro Clients</v>
      </c>
      <c r="W236" s="156" t="str">
        <f>+VLOOKUP($L236,Data_Validation!$A:$E,5,0)</f>
        <v>NB</v>
      </c>
      <c r="X236" s="156">
        <f>+VLOOKUP($L236,Data_Validation!$A:$F,6,0)</f>
        <v>0</v>
      </c>
    </row>
    <row r="237" spans="1:24" ht="15" hidden="1" customHeight="1">
      <c r="A237" s="1147" t="s">
        <v>2107</v>
      </c>
      <c r="B237" s="1147" t="s">
        <v>2108</v>
      </c>
      <c r="C237" s="1149">
        <v>-48733.31</v>
      </c>
      <c r="D237" s="1149">
        <v>-5830.47</v>
      </c>
      <c r="E237" s="1149">
        <v>-54563.78</v>
      </c>
      <c r="F237" s="1147" t="s">
        <v>285</v>
      </c>
      <c r="G237" s="1147" t="s">
        <v>2108</v>
      </c>
      <c r="H237" s="1145"/>
      <c r="I237" s="1145"/>
      <c r="J237" s="1145"/>
      <c r="K237" s="1145"/>
      <c r="L237" s="153" t="str">
        <f t="shared" si="15"/>
        <v>4731</v>
      </c>
      <c r="M237" s="154" t="str">
        <f t="shared" si="16"/>
        <v>VTE - PIECES-BON REPAR.-PEINT/DEBOS</v>
      </c>
      <c r="N237" s="155">
        <f>+IF(OR($Q237=Parametres!$G$2,$Q237=Parametres!$G$3),I237,C237)</f>
        <v>-48733.31</v>
      </c>
      <c r="O237" s="1122">
        <f>+IF(OR($Q237=Parametres!$G$2,$Q237=Parametres!$G$3),J237,D237)</f>
        <v>-5830.47</v>
      </c>
      <c r="P237" s="155">
        <f>+IF(OR($Q237=Parametres!$G$2,$Q237=Parametres!$G$3),K237,E237)</f>
        <v>-54563.78</v>
      </c>
      <c r="Q237" s="154" t="str">
        <f t="shared" si="17"/>
        <v>5-Ventes</v>
      </c>
      <c r="R237" s="153" t="str">
        <f t="shared" si="18"/>
        <v>4731</v>
      </c>
      <c r="S237" s="154">
        <f t="shared" si="19"/>
        <v>0</v>
      </c>
      <c r="T237" s="156" t="str">
        <f>+VLOOKUP($L237,Data_Validation!$A:$D,1,0)</f>
        <v>4731</v>
      </c>
      <c r="U237" s="156" t="str">
        <f>+VLOOKUP($L237,Data_Validation!$A:$D,3,0)</f>
        <v>Pièces</v>
      </c>
      <c r="V237" s="156" t="str">
        <f>+VLOOKUP($L237,Data_Validation!$A:$D,4,0)</f>
        <v>Pièces Ro Carrosserie</v>
      </c>
      <c r="W237" s="156" t="str">
        <f>+VLOOKUP($L237,Data_Validation!$A:$E,5,0)</f>
        <v>$</v>
      </c>
      <c r="X237" s="156" t="str">
        <f>+VLOOKUP($L237,Data_Validation!$A:$F,6,0)</f>
        <v>Oui</v>
      </c>
    </row>
    <row r="238" spans="1:24" ht="15.75" hidden="1" customHeight="1">
      <c r="A238" s="1147" t="s">
        <v>2548</v>
      </c>
      <c r="B238" s="1147" t="s">
        <v>2549</v>
      </c>
      <c r="C238" s="1145"/>
      <c r="D238" s="1145"/>
      <c r="E238" s="1145"/>
      <c r="F238" s="1147" t="s">
        <v>4</v>
      </c>
      <c r="G238" s="1147" t="s">
        <v>2108</v>
      </c>
      <c r="H238" s="1145"/>
      <c r="I238" s="1149">
        <v>-64</v>
      </c>
      <c r="J238" s="1149">
        <v>-8</v>
      </c>
      <c r="K238" s="1149">
        <v>-72</v>
      </c>
      <c r="L238" s="153" t="str">
        <f t="shared" si="15"/>
        <v>4731@</v>
      </c>
      <c r="M238" s="154" t="str">
        <f t="shared" si="16"/>
        <v>PIECES-BON REPAR. PEINT/DEBOS</v>
      </c>
      <c r="N238" s="155">
        <f>+IF(OR($Q238=Parametres!$G$2,$Q238=Parametres!$G$3),I238,C238)</f>
        <v>-64</v>
      </c>
      <c r="O238" s="1122">
        <f>+IF(OR($Q238=Parametres!$G$2,$Q238=Parametres!$G$3),J238,D238)</f>
        <v>-8</v>
      </c>
      <c r="P238" s="155">
        <f>+IF(OR($Q238=Parametres!$G$2,$Q238=Parametres!$G$3),K238,E238)</f>
        <v>-72</v>
      </c>
      <c r="Q238" s="154" t="str">
        <f t="shared" si="17"/>
        <v>10-Compte compteur</v>
      </c>
      <c r="R238" s="153" t="str">
        <f t="shared" si="18"/>
        <v>4731</v>
      </c>
      <c r="S238" s="154">
        <f t="shared" si="19"/>
        <v>0</v>
      </c>
      <c r="T238" s="156" t="str">
        <f>+VLOOKUP($L238,Data_Validation!$A:$D,1,0)</f>
        <v>4731@</v>
      </c>
      <c r="U238" s="156" t="str">
        <f>+VLOOKUP($L238,Data_Validation!$A:$D,3,0)</f>
        <v>Pièces</v>
      </c>
      <c r="V238" s="156" t="str">
        <f>+VLOOKUP($L238,Data_Validation!$A:$D,4,0)</f>
        <v>Pièces Ro Carrosserie</v>
      </c>
      <c r="W238" s="156" t="str">
        <f>+VLOOKUP($L238,Data_Validation!$A:$E,5,0)</f>
        <v>NB</v>
      </c>
      <c r="X238" s="156">
        <f>+VLOOKUP($L238,Data_Validation!$A:$F,6,0)</f>
        <v>0</v>
      </c>
    </row>
    <row r="239" spans="1:24" ht="15" hidden="1" customHeight="1">
      <c r="A239" s="1147" t="s">
        <v>2090</v>
      </c>
      <c r="B239" s="1147" t="s">
        <v>2091</v>
      </c>
      <c r="C239" s="1149">
        <v>-219831.19</v>
      </c>
      <c r="D239" s="1149">
        <v>-10782.54</v>
      </c>
      <c r="E239" s="1149">
        <v>-230613.73</v>
      </c>
      <c r="F239" s="1147" t="s">
        <v>285</v>
      </c>
      <c r="G239" s="1147" t="s">
        <v>2091</v>
      </c>
      <c r="H239" s="1145"/>
      <c r="I239" s="1145"/>
      <c r="J239" s="1145"/>
      <c r="K239" s="1145"/>
      <c r="L239" s="153" t="str">
        <f t="shared" si="15"/>
        <v>4733</v>
      </c>
      <c r="M239" s="154" t="str">
        <f t="shared" si="16"/>
        <v>VTE - P&amp;A B.T. GARANTIE CAR.</v>
      </c>
      <c r="N239" s="155">
        <f>+IF(OR($Q239=Parametres!$G$2,$Q239=Parametres!$G$3),I239,C239)</f>
        <v>-219831.19</v>
      </c>
      <c r="O239" s="1122">
        <f>+IF(OR($Q239=Parametres!$G$2,$Q239=Parametres!$G$3),J239,D239)</f>
        <v>-10782.54</v>
      </c>
      <c r="P239" s="155">
        <f>+IF(OR($Q239=Parametres!$G$2,$Q239=Parametres!$G$3),K239,E239)</f>
        <v>-230613.73</v>
      </c>
      <c r="Q239" s="154" t="str">
        <f t="shared" si="17"/>
        <v>5-Ventes</v>
      </c>
      <c r="R239" s="153" t="str">
        <f t="shared" si="18"/>
        <v>4733</v>
      </c>
      <c r="S239" s="154">
        <f t="shared" si="19"/>
        <v>0</v>
      </c>
      <c r="T239" s="156" t="str">
        <f>+VLOOKUP($L239,Data_Validation!$A:$D,1,0)</f>
        <v>4733</v>
      </c>
      <c r="U239" s="156" t="str">
        <f>+VLOOKUP($L239,Data_Validation!$A:$D,3,0)</f>
        <v>Pièces</v>
      </c>
      <c r="V239" s="156" t="str">
        <f>+VLOOKUP($L239,Data_Validation!$A:$D,4,0)</f>
        <v>Pièces Ro Carrosserie</v>
      </c>
      <c r="W239" s="156" t="str">
        <f>+VLOOKUP($L239,Data_Validation!$A:$E,5,0)</f>
        <v>$</v>
      </c>
      <c r="X239" s="156" t="str">
        <f>+VLOOKUP($L239,Data_Validation!$A:$F,6,0)</f>
        <v>Oui</v>
      </c>
    </row>
    <row r="240" spans="1:24" ht="15" hidden="1" customHeight="1">
      <c r="A240" s="1147" t="s">
        <v>2550</v>
      </c>
      <c r="B240" s="1147" t="s">
        <v>2551</v>
      </c>
      <c r="C240" s="1145"/>
      <c r="D240" s="1145"/>
      <c r="E240" s="1145"/>
      <c r="F240" s="1147" t="s">
        <v>4</v>
      </c>
      <c r="G240" s="1147" t="s">
        <v>2091</v>
      </c>
      <c r="H240" s="1145"/>
      <c r="I240" s="1149">
        <v>-120</v>
      </c>
      <c r="J240" s="1149">
        <v>-9</v>
      </c>
      <c r="K240" s="1149">
        <v>-129</v>
      </c>
      <c r="L240" s="153" t="str">
        <f t="shared" si="15"/>
        <v>4733@</v>
      </c>
      <c r="M240" s="154" t="str">
        <f t="shared" si="16"/>
        <v># DE VTE - P&amp;A B.T. GARANTIE CARR.</v>
      </c>
      <c r="N240" s="155">
        <f>+IF(OR($Q240=Parametres!$G$2,$Q240=Parametres!$G$3),I240,C240)</f>
        <v>-120</v>
      </c>
      <c r="O240" s="1122">
        <f>+IF(OR($Q240=Parametres!$G$2,$Q240=Parametres!$G$3),J240,D240)</f>
        <v>-9</v>
      </c>
      <c r="P240" s="155">
        <f>+IF(OR($Q240=Parametres!$G$2,$Q240=Parametres!$G$3),K240,E240)</f>
        <v>-129</v>
      </c>
      <c r="Q240" s="154" t="str">
        <f t="shared" si="17"/>
        <v>10-Compte compteur</v>
      </c>
      <c r="R240" s="153" t="str">
        <f t="shared" si="18"/>
        <v>4733</v>
      </c>
      <c r="S240" s="154">
        <f t="shared" si="19"/>
        <v>0</v>
      </c>
      <c r="T240" s="156" t="str">
        <f>+VLOOKUP($L240,Data_Validation!$A:$D,1,0)</f>
        <v>4733@</v>
      </c>
      <c r="U240" s="156" t="str">
        <f>+VLOOKUP($L240,Data_Validation!$A:$D,3,0)</f>
        <v>Pièces</v>
      </c>
      <c r="V240" s="156" t="str">
        <f>+VLOOKUP($L240,Data_Validation!$A:$D,4,0)</f>
        <v>Pièces Ro Carrosserie</v>
      </c>
      <c r="W240" s="156" t="str">
        <f>+VLOOKUP($L240,Data_Validation!$A:$E,5,0)</f>
        <v>NB</v>
      </c>
      <c r="X240" s="156">
        <f>+VLOOKUP($L240,Data_Validation!$A:$F,6,0)</f>
        <v>0</v>
      </c>
    </row>
    <row r="241" spans="1:24" ht="15" hidden="1" customHeight="1">
      <c r="A241" s="1147" t="s">
        <v>2165</v>
      </c>
      <c r="B241" s="1147" t="s">
        <v>2166</v>
      </c>
      <c r="C241" s="1149">
        <v>-5490.04</v>
      </c>
      <c r="D241" s="1149">
        <v>-3123.69</v>
      </c>
      <c r="E241" s="1149">
        <v>-8613.73</v>
      </c>
      <c r="F241" s="1147" t="s">
        <v>285</v>
      </c>
      <c r="G241" s="1147" t="s">
        <v>2166</v>
      </c>
      <c r="H241" s="1145"/>
      <c r="I241" s="1145"/>
      <c r="J241" s="1145"/>
      <c r="K241" s="1145"/>
      <c r="L241" s="153" t="str">
        <f t="shared" si="15"/>
        <v>4735</v>
      </c>
      <c r="M241" s="154" t="str">
        <f t="shared" si="16"/>
        <v>VTE - P&amp;A B.T. INTERNE CARROS.</v>
      </c>
      <c r="N241" s="155">
        <f>+IF(OR($Q241=Parametres!$G$2,$Q241=Parametres!$G$3),I241,C241)</f>
        <v>-5490.04</v>
      </c>
      <c r="O241" s="1122">
        <f>+IF(OR($Q241=Parametres!$G$2,$Q241=Parametres!$G$3),J241,D241)</f>
        <v>-3123.69</v>
      </c>
      <c r="P241" s="155">
        <f>+IF(OR($Q241=Parametres!$G$2,$Q241=Parametres!$G$3),K241,E241)</f>
        <v>-8613.73</v>
      </c>
      <c r="Q241" s="154" t="str">
        <f t="shared" si="17"/>
        <v>5-Ventes</v>
      </c>
      <c r="R241" s="153" t="str">
        <f t="shared" si="18"/>
        <v>4735</v>
      </c>
      <c r="S241" s="154">
        <f t="shared" si="19"/>
        <v>0</v>
      </c>
      <c r="T241" s="156" t="str">
        <f>+VLOOKUP($L241,Data_Validation!$A:$D,1,0)</f>
        <v>4735</v>
      </c>
      <c r="U241" s="156" t="str">
        <f>+VLOOKUP($L241,Data_Validation!$A:$D,3,0)</f>
        <v>Pièces</v>
      </c>
      <c r="V241" s="156" t="str">
        <f>+VLOOKUP($L241,Data_Validation!$A:$D,4,0)</f>
        <v>Pièces Ro Carrosserie</v>
      </c>
      <c r="W241" s="156" t="str">
        <f>+VLOOKUP($L241,Data_Validation!$A:$E,5,0)</f>
        <v>$</v>
      </c>
      <c r="X241" s="156" t="str">
        <f>+VLOOKUP($L241,Data_Validation!$A:$F,6,0)</f>
        <v>Oui</v>
      </c>
    </row>
    <row r="242" spans="1:24" ht="15" hidden="1" customHeight="1">
      <c r="A242" s="1147" t="s">
        <v>2552</v>
      </c>
      <c r="B242" s="1147" t="s">
        <v>2553</v>
      </c>
      <c r="C242" s="1149"/>
      <c r="D242" s="1149"/>
      <c r="E242" s="1149"/>
      <c r="F242" s="1147" t="s">
        <v>4</v>
      </c>
      <c r="G242" s="1147" t="s">
        <v>2166</v>
      </c>
      <c r="H242" s="1145"/>
      <c r="I242" s="1145">
        <v>-19</v>
      </c>
      <c r="J242" s="1145">
        <v>-4</v>
      </c>
      <c r="K242" s="1145">
        <v>-23</v>
      </c>
      <c r="L242" s="153" t="str">
        <f t="shared" si="15"/>
        <v>4735@</v>
      </c>
      <c r="M242" s="154" t="str">
        <f t="shared" si="16"/>
        <v># DE VTE - P&amp;A B.T. INTERNE CARROS.</v>
      </c>
      <c r="N242" s="155">
        <f>+IF(OR($Q242=Parametres!$G$2,$Q242=Parametres!$G$3),I242,C242)</f>
        <v>-19</v>
      </c>
      <c r="O242" s="1122">
        <f>+IF(OR($Q242=Parametres!$G$2,$Q242=Parametres!$G$3),J242,D242)</f>
        <v>-4</v>
      </c>
      <c r="P242" s="155">
        <f>+IF(OR($Q242=Parametres!$G$2,$Q242=Parametres!$G$3),K242,E242)</f>
        <v>-23</v>
      </c>
      <c r="Q242" s="154" t="str">
        <f t="shared" si="17"/>
        <v>10-Compte compteur</v>
      </c>
      <c r="R242" s="153" t="str">
        <f t="shared" si="18"/>
        <v>4735</v>
      </c>
      <c r="S242" s="154">
        <f t="shared" si="19"/>
        <v>0</v>
      </c>
      <c r="T242" s="156" t="str">
        <f>+VLOOKUP($L242,Data_Validation!$A:$D,1,0)</f>
        <v>4735@</v>
      </c>
      <c r="U242" s="156" t="str">
        <f>+VLOOKUP($L242,Data_Validation!$A:$D,3,0)</f>
        <v>Pièces</v>
      </c>
      <c r="V242" s="156" t="str">
        <f>+VLOOKUP($L242,Data_Validation!$A:$D,4,0)</f>
        <v>Pièces Ro Carrosserie</v>
      </c>
      <c r="W242" s="156" t="str">
        <f>+VLOOKUP($L242,Data_Validation!$A:$E,5,0)</f>
        <v>NB</v>
      </c>
      <c r="X242" s="156">
        <f>+VLOOKUP($L242,Data_Validation!$A:$F,6,0)</f>
        <v>0</v>
      </c>
    </row>
    <row r="243" spans="1:24" ht="15.75" hidden="1" customHeight="1">
      <c r="A243" s="1147" t="s">
        <v>2082</v>
      </c>
      <c r="B243" s="1147" t="s">
        <v>2083</v>
      </c>
      <c r="C243" s="1150">
        <v>-88556.03</v>
      </c>
      <c r="D243" s="1150">
        <v>-16671.490000000002</v>
      </c>
      <c r="E243" s="1150">
        <v>-105227.52</v>
      </c>
      <c r="F243" s="1147" t="s">
        <v>285</v>
      </c>
      <c r="G243" s="1147" t="s">
        <v>2083</v>
      </c>
      <c r="H243" s="1145"/>
      <c r="I243" s="1149"/>
      <c r="J243" s="1149"/>
      <c r="K243" s="1149"/>
      <c r="L243" s="153" t="str">
        <f t="shared" si="15"/>
        <v>4761</v>
      </c>
      <c r="M243" s="154" t="str">
        <f t="shared" si="16"/>
        <v>VTE - P&amp;A VW COMPTOIR - DETAIL</v>
      </c>
      <c r="N243" s="155">
        <f>+IF(OR($Q243=Parametres!$G$2,$Q243=Parametres!$G$3),I243,C243)</f>
        <v>-88556.03</v>
      </c>
      <c r="O243" s="1120">
        <f>+IF(OR($Q243=Parametres!$G$2,$Q243=Parametres!$G$3),J243,D243)</f>
        <v>-16671.490000000002</v>
      </c>
      <c r="P243" s="155">
        <f>+IF(OR($Q243=Parametres!$G$2,$Q243=Parametres!$G$3),K243,E243)</f>
        <v>-105227.52</v>
      </c>
      <c r="Q243" s="154" t="str">
        <f t="shared" si="17"/>
        <v>5-Ventes</v>
      </c>
      <c r="R243" s="153" t="str">
        <f t="shared" si="18"/>
        <v>4761</v>
      </c>
      <c r="S243" s="154">
        <f t="shared" si="19"/>
        <v>0</v>
      </c>
      <c r="T243" s="156" t="str">
        <f>+VLOOKUP($L243,Data_Validation!$A:$D,1,0)</f>
        <v>4761</v>
      </c>
      <c r="U243" s="156" t="str">
        <f>+VLOOKUP($L243,Data_Validation!$A:$D,3,0)</f>
        <v>Pièces</v>
      </c>
      <c r="V243" s="156" t="str">
        <f>+VLOOKUP($L243,Data_Validation!$A:$D,4,0)</f>
        <v>Ventes Détails</v>
      </c>
      <c r="W243" s="156" t="str">
        <f>+VLOOKUP($L243,Data_Validation!$A:$E,5,0)</f>
        <v>$</v>
      </c>
      <c r="X243" s="156" t="str">
        <f>+VLOOKUP($L243,Data_Validation!$A:$F,6,0)</f>
        <v>Oui</v>
      </c>
    </row>
    <row r="244" spans="1:24" ht="15" hidden="1" customHeight="1">
      <c r="A244" s="1147" t="s">
        <v>2554</v>
      </c>
      <c r="B244" s="1147" t="s">
        <v>2555</v>
      </c>
      <c r="C244" s="1149"/>
      <c r="D244" s="1149"/>
      <c r="E244" s="1149"/>
      <c r="F244" s="1147" t="s">
        <v>4</v>
      </c>
      <c r="G244" s="1147" t="s">
        <v>2083</v>
      </c>
      <c r="H244" s="1145"/>
      <c r="I244" s="1145">
        <v>-983</v>
      </c>
      <c r="J244" s="1145">
        <v>-142</v>
      </c>
      <c r="K244" s="1150">
        <v>-1125</v>
      </c>
      <c r="L244" s="153" t="str">
        <f t="shared" si="15"/>
        <v>4761@</v>
      </c>
      <c r="M244" s="154" t="str">
        <f t="shared" si="16"/>
        <v>PIECES-COMPTOIR-DETAIL</v>
      </c>
      <c r="N244" s="155">
        <f>+IF(OR($Q244=Parametres!$G$2,$Q244=Parametres!$G$3),I244,C244)</f>
        <v>-983</v>
      </c>
      <c r="O244" s="1122">
        <f>+IF(OR($Q244=Parametres!$G$2,$Q244=Parametres!$G$3),J244,D244)</f>
        <v>-142</v>
      </c>
      <c r="P244" s="155">
        <f>+IF(OR($Q244=Parametres!$G$2,$Q244=Parametres!$G$3),K244,E244)</f>
        <v>-1125</v>
      </c>
      <c r="Q244" s="154" t="str">
        <f t="shared" si="17"/>
        <v>10-Compte compteur</v>
      </c>
      <c r="R244" s="153" t="str">
        <f t="shared" si="18"/>
        <v>4761</v>
      </c>
      <c r="S244" s="154">
        <f t="shared" si="19"/>
        <v>0</v>
      </c>
      <c r="T244" s="156" t="str">
        <f>+VLOOKUP($L244,Data_Validation!$A:$D,1,0)</f>
        <v>4761@</v>
      </c>
      <c r="U244" s="156" t="str">
        <f>+VLOOKUP($L244,Data_Validation!$A:$D,3,0)</f>
        <v>Pièces</v>
      </c>
      <c r="V244" s="156" t="str">
        <f>+VLOOKUP($L244,Data_Validation!$A:$D,4,0)</f>
        <v>Ventes Détails</v>
      </c>
      <c r="W244" s="156" t="str">
        <f>+VLOOKUP($L244,Data_Validation!$A:$E,5,0)</f>
        <v>NB</v>
      </c>
      <c r="X244" s="156">
        <f>+VLOOKUP($L244,Data_Validation!$A:$F,6,0)</f>
        <v>0</v>
      </c>
    </row>
    <row r="245" spans="1:24" ht="15" hidden="1" customHeight="1">
      <c r="A245" s="1147" t="s">
        <v>2045</v>
      </c>
      <c r="B245" s="1147" t="s">
        <v>2046</v>
      </c>
      <c r="C245" s="1150">
        <v>-248309.58</v>
      </c>
      <c r="D245" s="1150">
        <v>-55314.11</v>
      </c>
      <c r="E245" s="1150">
        <v>-303623.69</v>
      </c>
      <c r="F245" s="1147" t="s">
        <v>285</v>
      </c>
      <c r="G245" s="1147" t="s">
        <v>2046</v>
      </c>
      <c r="H245" s="1145"/>
      <c r="I245" s="1149"/>
      <c r="J245" s="1149"/>
      <c r="K245" s="1149"/>
      <c r="L245" s="153" t="str">
        <f t="shared" si="15"/>
        <v>4763</v>
      </c>
      <c r="M245" s="154" t="str">
        <f t="shared" si="16"/>
        <v>VTE - P&amp;A VW COMPTOIR GROS - ECHANGE</v>
      </c>
      <c r="N245" s="155">
        <f>+IF(OR($Q245=Parametres!$G$2,$Q245=Parametres!$G$3),I245,C245)</f>
        <v>-248309.58</v>
      </c>
      <c r="O245" s="1122">
        <f>+IF(OR($Q245=Parametres!$G$2,$Q245=Parametres!$G$3),J245,D245)</f>
        <v>-55314.11</v>
      </c>
      <c r="P245" s="155">
        <f>+IF(OR($Q245=Parametres!$G$2,$Q245=Parametres!$G$3),K245,E245)</f>
        <v>-303623.69</v>
      </c>
      <c r="Q245" s="154" t="str">
        <f t="shared" si="17"/>
        <v>5-Ventes</v>
      </c>
      <c r="R245" s="153" t="str">
        <f t="shared" si="18"/>
        <v>4763</v>
      </c>
      <c r="S245" s="154">
        <f t="shared" si="19"/>
        <v>0</v>
      </c>
      <c r="T245" s="156" t="str">
        <f>+VLOOKUP($L245,Data_Validation!$A:$D,1,0)</f>
        <v>4763</v>
      </c>
      <c r="U245" s="156" t="str">
        <f>+VLOOKUP($L245,Data_Validation!$A:$D,3,0)</f>
        <v>Pièces</v>
      </c>
      <c r="V245" s="156" t="str">
        <f>+VLOOKUP($L245,Data_Validation!$A:$D,4,0)</f>
        <v>Ventes de Gros</v>
      </c>
      <c r="W245" s="156" t="str">
        <f>+VLOOKUP($L245,Data_Validation!$A:$E,5,0)</f>
        <v>$</v>
      </c>
      <c r="X245" s="156" t="str">
        <f>+VLOOKUP($L245,Data_Validation!$A:$F,6,0)</f>
        <v>Oui</v>
      </c>
    </row>
    <row r="246" spans="1:24" ht="15" hidden="1" customHeight="1">
      <c r="A246" s="1147" t="s">
        <v>2556</v>
      </c>
      <c r="B246" s="1147" t="s">
        <v>2557</v>
      </c>
      <c r="C246" s="1149"/>
      <c r="D246" s="1149"/>
      <c r="E246" s="1149"/>
      <c r="F246" s="1147" t="s">
        <v>4</v>
      </c>
      <c r="G246" s="1147" t="s">
        <v>2046</v>
      </c>
      <c r="H246" s="1145"/>
      <c r="I246" s="1150">
        <v>-1103</v>
      </c>
      <c r="J246" s="1145">
        <v>-171</v>
      </c>
      <c r="K246" s="1150">
        <v>-1274</v>
      </c>
      <c r="L246" s="153" t="str">
        <f t="shared" si="15"/>
        <v>4763@</v>
      </c>
      <c r="M246" s="154" t="str">
        <f t="shared" si="16"/>
        <v>PIECES-COMPTOIR-COMM. GROS</v>
      </c>
      <c r="N246" s="155">
        <f>+IF(OR($Q246=Parametres!$G$2,$Q246=Parametres!$G$3),I246,C246)</f>
        <v>-1103</v>
      </c>
      <c r="O246" s="1122">
        <f>+IF(OR($Q246=Parametres!$G$2,$Q246=Parametres!$G$3),J246,D246)</f>
        <v>-171</v>
      </c>
      <c r="P246" s="155">
        <f>+IF(OR($Q246=Parametres!$G$2,$Q246=Parametres!$G$3),K246,E246)</f>
        <v>-1274</v>
      </c>
      <c r="Q246" s="154" t="str">
        <f t="shared" si="17"/>
        <v>10-Compte compteur</v>
      </c>
      <c r="R246" s="153" t="str">
        <f t="shared" si="18"/>
        <v>4763</v>
      </c>
      <c r="S246" s="154">
        <f t="shared" si="19"/>
        <v>0</v>
      </c>
      <c r="T246" s="156" t="str">
        <f>+VLOOKUP($L246,Data_Validation!$A:$D,1,0)</f>
        <v>4763@</v>
      </c>
      <c r="U246" s="156" t="str">
        <f>+VLOOKUP($L246,Data_Validation!$A:$D,3,0)</f>
        <v>Pièces</v>
      </c>
      <c r="V246" s="156" t="str">
        <f>+VLOOKUP($L246,Data_Validation!$A:$D,4,0)</f>
        <v>Ventes de Gros</v>
      </c>
      <c r="W246" s="156" t="str">
        <f>+VLOOKUP($L246,Data_Validation!$A:$E,5,0)</f>
        <v>NB</v>
      </c>
      <c r="X246" s="156">
        <f>+VLOOKUP($L246,Data_Validation!$A:$F,6,0)</f>
        <v>0</v>
      </c>
    </row>
    <row r="247" spans="1:24" ht="15.75" hidden="1" customHeight="1">
      <c r="A247" s="1147" t="s">
        <v>2034</v>
      </c>
      <c r="B247" s="1147" t="s">
        <v>2035</v>
      </c>
      <c r="C247" s="1150">
        <v>-181092.97</v>
      </c>
      <c r="D247" s="1150">
        <v>-26107.34</v>
      </c>
      <c r="E247" s="1150">
        <v>-207200.31</v>
      </c>
      <c r="F247" s="1147" t="s">
        <v>285</v>
      </c>
      <c r="G247" s="1147" t="s">
        <v>2035</v>
      </c>
      <c r="H247" s="1145"/>
      <c r="I247" s="1149"/>
      <c r="J247" s="1149"/>
      <c r="K247" s="1149"/>
      <c r="L247" s="153" t="str">
        <f t="shared" si="15"/>
        <v>4781</v>
      </c>
      <c r="M247" s="154" t="str">
        <f t="shared" si="16"/>
        <v>VENTES PNEUS</v>
      </c>
      <c r="N247" s="155">
        <f>+IF(OR($Q247=Parametres!$G$2,$Q247=Parametres!$G$3),I247,C247)</f>
        <v>-181092.97</v>
      </c>
      <c r="O247" s="1122">
        <f>+IF(OR($Q247=Parametres!$G$2,$Q247=Parametres!$G$3),J247,D247)</f>
        <v>-26107.34</v>
      </c>
      <c r="P247" s="155">
        <f>+IF(OR($Q247=Parametres!$G$2,$Q247=Parametres!$G$3),K247,E247)</f>
        <v>-207200.31</v>
      </c>
      <c r="Q247" s="154" t="str">
        <f t="shared" si="17"/>
        <v>5-Ventes</v>
      </c>
      <c r="R247" s="153" t="str">
        <f t="shared" si="18"/>
        <v>4781</v>
      </c>
      <c r="S247" s="154">
        <f t="shared" si="19"/>
        <v>0</v>
      </c>
      <c r="T247" s="156" t="str">
        <f>+VLOOKUP($L247,Data_Validation!$A:$D,1,0)</f>
        <v>4781</v>
      </c>
      <c r="U247" s="156" t="str">
        <f>+VLOOKUP($L247,Data_Validation!$A:$D,3,0)</f>
        <v>Pièces</v>
      </c>
      <c r="V247" s="156" t="str">
        <f>+VLOOKUP($L247,Data_Validation!$A:$D,4,0)</f>
        <v>Ventes Pneus</v>
      </c>
      <c r="W247" s="156" t="str">
        <f>+VLOOKUP($L247,Data_Validation!$A:$E,5,0)</f>
        <v>$</v>
      </c>
      <c r="X247" s="156" t="str">
        <f>+VLOOKUP($L247,Data_Validation!$A:$F,6,0)</f>
        <v>Oui</v>
      </c>
    </row>
    <row r="248" spans="1:24" ht="15" hidden="1" customHeight="1">
      <c r="A248" s="1147" t="s">
        <v>2034</v>
      </c>
      <c r="B248" s="1147" t="s">
        <v>2558</v>
      </c>
      <c r="C248" s="1149"/>
      <c r="D248" s="1149"/>
      <c r="E248" s="1149"/>
      <c r="F248" s="1147" t="s">
        <v>4</v>
      </c>
      <c r="G248" s="1147" t="s">
        <v>2035</v>
      </c>
      <c r="H248" s="1145"/>
      <c r="I248" s="1150">
        <v>-262</v>
      </c>
      <c r="J248" s="1145">
        <v>-39</v>
      </c>
      <c r="K248" s="1150">
        <v>-301</v>
      </c>
      <c r="L248" s="153" t="str">
        <f t="shared" si="15"/>
        <v>4781@</v>
      </c>
      <c r="M248" s="154" t="str">
        <f t="shared" si="16"/>
        <v>VENTES PNEUS</v>
      </c>
      <c r="N248" s="155">
        <f>+IF(OR($Q248=Parametres!$G$2,$Q248=Parametres!$G$3),I248,C248)</f>
        <v>-262</v>
      </c>
      <c r="O248" s="1122">
        <f>+IF(OR($Q248=Parametres!$G$2,$Q248=Parametres!$G$3),J248,D248)</f>
        <v>-39</v>
      </c>
      <c r="P248" s="155">
        <f>+IF(OR($Q248=Parametres!$G$2,$Q248=Parametres!$G$3),K248,E248)</f>
        <v>-301</v>
      </c>
      <c r="Q248" s="154" t="str">
        <f t="shared" si="17"/>
        <v>10-Compte compteur</v>
      </c>
      <c r="R248" s="153" t="str">
        <f t="shared" si="18"/>
        <v>4781</v>
      </c>
      <c r="S248" s="154">
        <f t="shared" si="19"/>
        <v>0</v>
      </c>
      <c r="T248" s="156" t="str">
        <f>+VLOOKUP($L248,Data_Validation!$A:$D,1,0)</f>
        <v>4781@</v>
      </c>
      <c r="U248" s="156" t="str">
        <f>+VLOOKUP($L248,Data_Validation!$A:$D,3,0)</f>
        <v>Pièces</v>
      </c>
      <c r="V248" s="156" t="str">
        <f>+VLOOKUP($L248,Data_Validation!$A:$D,4,0)</f>
        <v>Ventes Pneus</v>
      </c>
      <c r="W248" s="156" t="str">
        <f>+VLOOKUP($L248,Data_Validation!$A:$E,5,0)</f>
        <v>NB</v>
      </c>
      <c r="X248" s="156">
        <f>+VLOOKUP($L248,Data_Validation!$A:$F,6,0)</f>
        <v>0</v>
      </c>
    </row>
    <row r="249" spans="1:24" ht="15" hidden="1" customHeight="1">
      <c r="A249" s="1147" t="s">
        <v>2120</v>
      </c>
      <c r="B249" s="1147" t="s">
        <v>2121</v>
      </c>
      <c r="C249" s="1150">
        <v>-554.75</v>
      </c>
      <c r="D249" s="1150">
        <v>-323.77999999999997</v>
      </c>
      <c r="E249" s="1150">
        <v>-878.53</v>
      </c>
      <c r="F249" s="1147" t="s">
        <v>285</v>
      </c>
      <c r="G249" s="1147" t="s">
        <v>2035</v>
      </c>
      <c r="H249" s="1145"/>
      <c r="I249" s="1149"/>
      <c r="J249" s="1149"/>
      <c r="K249" s="1149"/>
      <c r="L249" s="153" t="str">
        <f t="shared" si="15"/>
        <v>4785</v>
      </c>
      <c r="M249" s="154" t="str">
        <f t="shared" si="16"/>
        <v>VTE - VW PNEUS</v>
      </c>
      <c r="N249" s="155">
        <f>+IF(OR($Q249=Parametres!$G$2,$Q249=Parametres!$G$3),I249,C249)</f>
        <v>-554.75</v>
      </c>
      <c r="O249" s="1122">
        <f>+IF(OR($Q249=Parametres!$G$2,$Q249=Parametres!$G$3),J249,D249)</f>
        <v>-323.77999999999997</v>
      </c>
      <c r="P249" s="155">
        <f>+IF(OR($Q249=Parametres!$G$2,$Q249=Parametres!$G$3),K249,E249)</f>
        <v>-878.53</v>
      </c>
      <c r="Q249" s="154" t="str">
        <f t="shared" si="17"/>
        <v>5-Ventes</v>
      </c>
      <c r="R249" s="153" t="str">
        <f t="shared" si="18"/>
        <v>4781</v>
      </c>
      <c r="S249" s="154">
        <f t="shared" si="19"/>
        <v>0</v>
      </c>
      <c r="T249" s="156" t="str">
        <f>+VLOOKUP($L249,Data_Validation!$A:$D,1,0)</f>
        <v>4785</v>
      </c>
      <c r="U249" s="156" t="str">
        <f>+VLOOKUP($L249,Data_Validation!$A:$D,3,0)</f>
        <v>Pièces</v>
      </c>
      <c r="V249" s="156" t="str">
        <f>+VLOOKUP($L249,Data_Validation!$A:$D,4,0)</f>
        <v>Ventes Pneus</v>
      </c>
      <c r="W249" s="156" t="str">
        <f>+VLOOKUP($L249,Data_Validation!$A:$E,5,0)</f>
        <v>$</v>
      </c>
      <c r="X249" s="156" t="str">
        <f>+VLOOKUP($L249,Data_Validation!$A:$F,6,0)</f>
        <v>Oui</v>
      </c>
    </row>
    <row r="250" spans="1:24" ht="15" hidden="1" customHeight="1">
      <c r="A250" s="1147" t="s">
        <v>2840</v>
      </c>
      <c r="B250" s="1147" t="s">
        <v>2841</v>
      </c>
      <c r="C250" s="1149">
        <v>1257797.3500000001</v>
      </c>
      <c r="D250" s="1149">
        <v>194161.63</v>
      </c>
      <c r="E250" s="1149">
        <v>1451958.98</v>
      </c>
      <c r="F250" s="1147" t="s">
        <v>424</v>
      </c>
      <c r="G250" s="1147" t="s">
        <v>2026</v>
      </c>
      <c r="H250" s="1145"/>
      <c r="I250" s="1145"/>
      <c r="J250" s="1145"/>
      <c r="K250" s="1145"/>
      <c r="L250" s="153" t="str">
        <f t="shared" si="15"/>
        <v>5100</v>
      </c>
      <c r="M250" s="154" t="str">
        <f t="shared" si="16"/>
        <v>C/V - RACHAT DE BAIL</v>
      </c>
      <c r="N250" s="155">
        <f>+IF(OR($Q250=Parametres!$G$2,$Q250=Parametres!$G$3),I250,C250)</f>
        <v>1257797.3500000001</v>
      </c>
      <c r="O250" s="1122">
        <f>+IF(OR($Q250=Parametres!$G$2,$Q250=Parametres!$G$3),J250,D250)</f>
        <v>194161.63</v>
      </c>
      <c r="P250" s="155">
        <f>+IF(OR($Q250=Parametres!$G$2,$Q250=Parametres!$G$3),K250,E250)</f>
        <v>1451958.98</v>
      </c>
      <c r="Q250" s="154" t="str">
        <f t="shared" si="17"/>
        <v>6-Coût des ventes</v>
      </c>
      <c r="R250" s="153" t="str">
        <f t="shared" si="18"/>
        <v>4100</v>
      </c>
      <c r="S250" s="154">
        <f t="shared" si="19"/>
        <v>0</v>
      </c>
      <c r="T250" s="156" t="str">
        <f>+VLOOKUP($L250,Data_Validation!$A:$D,1,0)</f>
        <v>5100</v>
      </c>
      <c r="U250" s="156" t="str">
        <f>+VLOOKUP($L250,Data_Validation!$A:$D,3,0)</f>
        <v>Véhicules neufs</v>
      </c>
      <c r="V250" s="156" t="str">
        <f>+VLOOKUP($L250,Data_Validation!$A:$D,4,0)</f>
        <v>Rachat bail</v>
      </c>
      <c r="W250" s="156" t="str">
        <f>+VLOOKUP($L250,Data_Validation!$A:$E,5,0)</f>
        <v>$</v>
      </c>
      <c r="X250" s="156">
        <f>+VLOOKUP($L250,Data_Validation!$A:$F,6,0)</f>
        <v>0</v>
      </c>
    </row>
    <row r="251" spans="1:24" ht="15" hidden="1" customHeight="1">
      <c r="A251" s="1147" t="s">
        <v>2448</v>
      </c>
      <c r="B251" s="1147" t="s">
        <v>2449</v>
      </c>
      <c r="C251" s="1150">
        <v>103255.11</v>
      </c>
      <c r="D251" s="1145">
        <v>0</v>
      </c>
      <c r="E251" s="1150">
        <v>103255.11</v>
      </c>
      <c r="F251" s="1147" t="s">
        <v>424</v>
      </c>
      <c r="G251" s="1147" t="s">
        <v>2434</v>
      </c>
      <c r="H251" s="1145"/>
      <c r="I251" s="1149"/>
      <c r="J251" s="1149"/>
      <c r="K251" s="1149"/>
      <c r="L251" s="153" t="str">
        <f t="shared" si="15"/>
        <v>5105</v>
      </c>
      <c r="M251" s="154" t="str">
        <f t="shared" si="16"/>
        <v>C/V - ARTEON</v>
      </c>
      <c r="N251" s="155">
        <f>+IF(OR($Q251=Parametres!$G$2,$Q251=Parametres!$G$3),I251,C251)</f>
        <v>103255.11</v>
      </c>
      <c r="O251" s="1122">
        <f>+IF(OR($Q251=Parametres!$G$2,$Q251=Parametres!$G$3),J251,D251)</f>
        <v>0</v>
      </c>
      <c r="P251" s="155">
        <f>+IF(OR($Q251=Parametres!$G$2,$Q251=Parametres!$G$3),K251,E251)</f>
        <v>103255.11</v>
      </c>
      <c r="Q251" s="154" t="str">
        <f t="shared" si="17"/>
        <v>6-Coût des ventes</v>
      </c>
      <c r="R251" s="153" t="str">
        <f t="shared" si="18"/>
        <v>4105</v>
      </c>
      <c r="S251" s="154">
        <f t="shared" si="19"/>
        <v>0</v>
      </c>
      <c r="T251" s="156" t="str">
        <f>+VLOOKUP($L251,Data_Validation!$A:$D,1,0)</f>
        <v>5105</v>
      </c>
      <c r="U251" s="156" t="str">
        <f>+VLOOKUP($L251,Data_Validation!$A:$D,3,0)</f>
        <v>Véhicules neufs</v>
      </c>
      <c r="V251" s="156" t="str">
        <f>+VLOOKUP($L251,Data_Validation!$A:$D,4,0)</f>
        <v>Autos détail</v>
      </c>
      <c r="W251" s="156" t="str">
        <f>+VLOOKUP($L251,Data_Validation!$A:$E,5,0)</f>
        <v>$</v>
      </c>
      <c r="X251" s="156">
        <f>+VLOOKUP($L251,Data_Validation!$A:$F,6,0)</f>
        <v>0</v>
      </c>
    </row>
    <row r="252" spans="1:24" ht="15.75" hidden="1" customHeight="1">
      <c r="A252" s="1147" t="s">
        <v>2842</v>
      </c>
      <c r="B252" s="1147" t="s">
        <v>2843</v>
      </c>
      <c r="C252" s="1149">
        <v>1464524.99</v>
      </c>
      <c r="D252" s="1149">
        <v>177002.49</v>
      </c>
      <c r="E252" s="1149">
        <v>1641527.48</v>
      </c>
      <c r="F252" s="1147" t="s">
        <v>424</v>
      </c>
      <c r="G252" s="1147" t="s">
        <v>2019</v>
      </c>
      <c r="H252" s="1145"/>
      <c r="I252" s="1145"/>
      <c r="J252" s="1145"/>
      <c r="K252" s="1145"/>
      <c r="L252" s="153" t="str">
        <f t="shared" si="15"/>
        <v>5107</v>
      </c>
      <c r="M252" s="154" t="str">
        <f t="shared" si="16"/>
        <v>C/V - GOLF</v>
      </c>
      <c r="N252" s="155">
        <f>+IF(OR($Q252=Parametres!$G$2,$Q252=Parametres!$G$3),I252,C252)</f>
        <v>1464524.99</v>
      </c>
      <c r="O252" s="1122">
        <f>+IF(OR($Q252=Parametres!$G$2,$Q252=Parametres!$G$3),J252,D252)</f>
        <v>177002.49</v>
      </c>
      <c r="P252" s="155">
        <f>+IF(OR($Q252=Parametres!$G$2,$Q252=Parametres!$G$3),K252,E252)</f>
        <v>1641527.48</v>
      </c>
      <c r="Q252" s="154" t="str">
        <f t="shared" si="17"/>
        <v>6-Coût des ventes</v>
      </c>
      <c r="R252" s="153" t="str">
        <f t="shared" si="18"/>
        <v>4107</v>
      </c>
      <c r="S252" s="154">
        <f t="shared" si="19"/>
        <v>0</v>
      </c>
      <c r="T252" s="156" t="str">
        <f>+VLOOKUP($L252,Data_Validation!$A:$D,1,0)</f>
        <v>5107</v>
      </c>
      <c r="U252" s="156" t="str">
        <f>+VLOOKUP($L252,Data_Validation!$A:$D,3,0)</f>
        <v>Véhicules neufs</v>
      </c>
      <c r="V252" s="156" t="str">
        <f>+VLOOKUP($L252,Data_Validation!$A:$D,4,0)</f>
        <v>Autos détail</v>
      </c>
      <c r="W252" s="156" t="str">
        <f>+VLOOKUP($L252,Data_Validation!$A:$E,5,0)</f>
        <v>$</v>
      </c>
      <c r="X252" s="156">
        <f>+VLOOKUP($L252,Data_Validation!$A:$F,6,0)</f>
        <v>0</v>
      </c>
    </row>
    <row r="253" spans="1:24" ht="15" hidden="1" customHeight="1">
      <c r="A253" s="1147" t="s">
        <v>2844</v>
      </c>
      <c r="B253" s="1147" t="s">
        <v>2845</v>
      </c>
      <c r="C253" s="1150">
        <v>1073816.6599999999</v>
      </c>
      <c r="D253" s="1150">
        <v>414741.54</v>
      </c>
      <c r="E253" s="1150">
        <v>1488558.2</v>
      </c>
      <c r="F253" s="1147" t="s">
        <v>424</v>
      </c>
      <c r="G253" s="1147" t="s">
        <v>2014</v>
      </c>
      <c r="H253" s="1145"/>
      <c r="I253" s="1149"/>
      <c r="J253" s="1149"/>
      <c r="K253" s="1149"/>
      <c r="L253" s="153" t="str">
        <f t="shared" si="15"/>
        <v>5111</v>
      </c>
      <c r="M253" s="154" t="str">
        <f t="shared" si="16"/>
        <v>C/V - JETTA</v>
      </c>
      <c r="N253" s="155">
        <f>+IF(OR($Q253=Parametres!$G$2,$Q253=Parametres!$G$3),I253,C253)</f>
        <v>1073816.6599999999</v>
      </c>
      <c r="O253" s="1122">
        <f>+IF(OR($Q253=Parametres!$G$2,$Q253=Parametres!$G$3),J253,D253)</f>
        <v>414741.54</v>
      </c>
      <c r="P253" s="155">
        <f>+IF(OR($Q253=Parametres!$G$2,$Q253=Parametres!$G$3),K253,E253)</f>
        <v>1488558.2</v>
      </c>
      <c r="Q253" s="154" t="str">
        <f t="shared" si="17"/>
        <v>6-Coût des ventes</v>
      </c>
      <c r="R253" s="153" t="str">
        <f t="shared" si="18"/>
        <v>4111</v>
      </c>
      <c r="S253" s="154">
        <f t="shared" si="19"/>
        <v>0</v>
      </c>
      <c r="T253" s="156" t="str">
        <f>+VLOOKUP($L253,Data_Validation!$A:$D,1,0)</f>
        <v>5111</v>
      </c>
      <c r="U253" s="156" t="str">
        <f>+VLOOKUP($L253,Data_Validation!$A:$D,3,0)</f>
        <v>Véhicules neufs</v>
      </c>
      <c r="V253" s="156" t="str">
        <f>+VLOOKUP($L253,Data_Validation!$A:$D,4,0)</f>
        <v>Autos détail</v>
      </c>
      <c r="W253" s="156" t="str">
        <f>+VLOOKUP($L253,Data_Validation!$A:$E,5,0)</f>
        <v>$</v>
      </c>
      <c r="X253" s="156">
        <f>+VLOOKUP($L253,Data_Validation!$A:$F,6,0)</f>
        <v>0</v>
      </c>
    </row>
    <row r="254" spans="1:24" ht="15" hidden="1" customHeight="1">
      <c r="A254" s="1147" t="s">
        <v>2454</v>
      </c>
      <c r="B254" s="1147" t="s">
        <v>2455</v>
      </c>
      <c r="C254" s="1149">
        <v>14956.52</v>
      </c>
      <c r="D254" s="1149">
        <v>0</v>
      </c>
      <c r="E254" s="1149">
        <v>14956.52</v>
      </c>
      <c r="F254" s="1147" t="s">
        <v>424</v>
      </c>
      <c r="G254" s="1147" t="s">
        <v>2440</v>
      </c>
      <c r="H254" s="1145"/>
      <c r="I254" s="1145"/>
      <c r="J254" s="1145"/>
      <c r="K254" s="1145"/>
      <c r="L254" s="153" t="str">
        <f t="shared" si="15"/>
        <v>5115</v>
      </c>
      <c r="M254" s="154" t="str">
        <f t="shared" si="16"/>
        <v>C/V - PASSAT BERLINE</v>
      </c>
      <c r="N254" s="155">
        <f>+IF(OR($Q254=Parametres!$G$2,$Q254=Parametres!$G$3),I254,C254)</f>
        <v>14956.52</v>
      </c>
      <c r="O254" s="1122">
        <f>+IF(OR($Q254=Parametres!$G$2,$Q254=Parametres!$G$3),J254,D254)</f>
        <v>0</v>
      </c>
      <c r="P254" s="155">
        <f>+IF(OR($Q254=Parametres!$G$2,$Q254=Parametres!$G$3),K254,E254)</f>
        <v>14956.52</v>
      </c>
      <c r="Q254" s="154" t="str">
        <f t="shared" si="17"/>
        <v>6-Coût des ventes</v>
      </c>
      <c r="R254" s="153" t="str">
        <f t="shared" si="18"/>
        <v>4115</v>
      </c>
      <c r="S254" s="154">
        <f t="shared" si="19"/>
        <v>0</v>
      </c>
      <c r="T254" s="156" t="str">
        <f>+VLOOKUP($L254,Data_Validation!$A:$D,1,0)</f>
        <v>5115</v>
      </c>
      <c r="U254" s="156" t="str">
        <f>+VLOOKUP($L254,Data_Validation!$A:$D,3,0)</f>
        <v>Véhicules neufs</v>
      </c>
      <c r="V254" s="156" t="str">
        <f>+VLOOKUP($L254,Data_Validation!$A:$D,4,0)</f>
        <v>Autos détail</v>
      </c>
      <c r="W254" s="156" t="str">
        <f>+VLOOKUP($L254,Data_Validation!$A:$E,5,0)</f>
        <v>$</v>
      </c>
      <c r="X254" s="156">
        <f>+VLOOKUP($L254,Data_Validation!$A:$F,6,0)</f>
        <v>0</v>
      </c>
    </row>
    <row r="255" spans="1:24" ht="15" hidden="1" customHeight="1">
      <c r="A255" s="1147" t="s">
        <v>2948</v>
      </c>
      <c r="B255" s="1147" t="s">
        <v>2949</v>
      </c>
      <c r="C255" s="1150">
        <v>29116</v>
      </c>
      <c r="D255" s="1150">
        <v>64541.31</v>
      </c>
      <c r="E255" s="1150">
        <v>93657.31</v>
      </c>
      <c r="F255" s="1147" t="s">
        <v>424</v>
      </c>
      <c r="G255" s="1147" t="s">
        <v>1526</v>
      </c>
      <c r="H255" s="1145"/>
      <c r="I255" s="1149"/>
      <c r="J255" s="1149"/>
      <c r="K255" s="1149"/>
      <c r="L255" s="153" t="str">
        <f t="shared" si="15"/>
        <v>5118</v>
      </c>
      <c r="M255" s="154" t="str">
        <f t="shared" si="16"/>
        <v>C/V - TAOS</v>
      </c>
      <c r="N255" s="155">
        <f>+IF(OR($Q255=Parametres!$G$2,$Q255=Parametres!$G$3),I255,C255)</f>
        <v>29116</v>
      </c>
      <c r="O255" s="1122">
        <f>+IF(OR($Q255=Parametres!$G$2,$Q255=Parametres!$G$3),J255,D255)</f>
        <v>64541.31</v>
      </c>
      <c r="P255" s="155">
        <f>+IF(OR($Q255=Parametres!$G$2,$Q255=Parametres!$G$3),K255,E255)</f>
        <v>93657.31</v>
      </c>
      <c r="Q255" s="154" t="str">
        <f t="shared" si="17"/>
        <v>6-Coût des ventes</v>
      </c>
      <c r="R255" s="153" t="str">
        <f t="shared" si="18"/>
        <v>511</v>
      </c>
      <c r="S255" s="154">
        <f t="shared" si="19"/>
        <v>0</v>
      </c>
      <c r="T255" s="156" t="str">
        <f>+VLOOKUP($L255,Data_Validation!$A:$D,1,0)</f>
        <v>5118</v>
      </c>
      <c r="U255" s="156" t="str">
        <f>+VLOOKUP($L255,Data_Validation!$A:$D,3,0)</f>
        <v>Véhicules neufs</v>
      </c>
      <c r="V255" s="156" t="str">
        <f>+VLOOKUP($L255,Data_Validation!$A:$D,4,0)</f>
        <v>Camions détail</v>
      </c>
      <c r="W255" s="156" t="str">
        <f>+VLOOKUP($L255,Data_Validation!$A:$E,5,0)</f>
        <v>$</v>
      </c>
      <c r="X255" s="156">
        <f>+VLOOKUP($L255,Data_Validation!$A:$F,6,0)</f>
        <v>0</v>
      </c>
    </row>
    <row r="256" spans="1:24" ht="15.75" hidden="1" customHeight="1">
      <c r="A256" s="1147" t="s">
        <v>2850</v>
      </c>
      <c r="B256" s="1147" t="s">
        <v>2851</v>
      </c>
      <c r="C256" s="1149">
        <v>2814053.11</v>
      </c>
      <c r="D256" s="1149">
        <v>596883.78</v>
      </c>
      <c r="E256" s="1149">
        <v>3410936.89</v>
      </c>
      <c r="F256" s="1147" t="s">
        <v>424</v>
      </c>
      <c r="G256" s="1147" t="s">
        <v>2003</v>
      </c>
      <c r="H256" s="1145"/>
      <c r="I256" s="1145"/>
      <c r="J256" s="1145"/>
      <c r="K256" s="1145"/>
      <c r="L256" s="153" t="str">
        <f t="shared" si="15"/>
        <v>5119</v>
      </c>
      <c r="M256" s="154" t="str">
        <f t="shared" si="16"/>
        <v>C/V - ATLAS</v>
      </c>
      <c r="N256" s="155">
        <f>+IF(OR($Q256=Parametres!$G$2,$Q256=Parametres!$G$3),I256,C256)</f>
        <v>2814053.11</v>
      </c>
      <c r="O256" s="1122">
        <f>+IF(OR($Q256=Parametres!$G$2,$Q256=Parametres!$G$3),J256,D256)</f>
        <v>596883.78</v>
      </c>
      <c r="P256" s="155">
        <f>+IF(OR($Q256=Parametres!$G$2,$Q256=Parametres!$G$3),K256,E256)</f>
        <v>3410936.89</v>
      </c>
      <c r="Q256" s="154" t="str">
        <f t="shared" si="17"/>
        <v>6-Coût des ventes</v>
      </c>
      <c r="R256" s="153" t="str">
        <f t="shared" si="18"/>
        <v>4119</v>
      </c>
      <c r="S256" s="154">
        <f t="shared" si="19"/>
        <v>0</v>
      </c>
      <c r="T256" s="156" t="str">
        <f>+VLOOKUP($L256,Data_Validation!$A:$D,1,0)</f>
        <v>5119</v>
      </c>
      <c r="U256" s="156" t="str">
        <f>+VLOOKUP($L256,Data_Validation!$A:$D,3,0)</f>
        <v>Véhicules neufs</v>
      </c>
      <c r="V256" s="156" t="str">
        <f>+VLOOKUP($L256,Data_Validation!$A:$D,4,0)</f>
        <v>Camions détail</v>
      </c>
      <c r="W256" s="156" t="str">
        <f>+VLOOKUP($L256,Data_Validation!$A:$E,5,0)</f>
        <v>$</v>
      </c>
      <c r="X256" s="156">
        <f>+VLOOKUP($L256,Data_Validation!$A:$F,6,0)</f>
        <v>0</v>
      </c>
    </row>
    <row r="257" spans="1:24" ht="15" hidden="1" customHeight="1">
      <c r="A257" s="1147" t="s">
        <v>2909</v>
      </c>
      <c r="B257" s="1147" t="s">
        <v>2910</v>
      </c>
      <c r="C257" s="1149">
        <v>262246.45</v>
      </c>
      <c r="D257" s="1149">
        <v>0</v>
      </c>
      <c r="E257" s="1149">
        <v>262246.45</v>
      </c>
      <c r="F257" s="1147" t="s">
        <v>424</v>
      </c>
      <c r="G257" s="1147" t="s">
        <v>2906</v>
      </c>
      <c r="H257" s="1118"/>
      <c r="I257" s="1118"/>
      <c r="J257" s="1118"/>
      <c r="K257" s="1118"/>
      <c r="L257" s="153" t="str">
        <f t="shared" si="15"/>
        <v>5121</v>
      </c>
      <c r="M257" s="154" t="str">
        <f t="shared" si="16"/>
        <v>C/V - ATLAS CROSS SPORT</v>
      </c>
      <c r="N257" s="155">
        <f>+IF(OR($Q257=Parametres!$G$2,$Q257=Parametres!$G$3),I257,C257)</f>
        <v>262246.45</v>
      </c>
      <c r="O257" s="1122">
        <f>+IF(OR($Q257=Parametres!$G$2,$Q257=Parametres!$G$3),J257,D257)</f>
        <v>0</v>
      </c>
      <c r="P257" s="155">
        <f>+IF(OR($Q257=Parametres!$G$2,$Q257=Parametres!$G$3),K257,E257)</f>
        <v>262246.45</v>
      </c>
      <c r="Q257" s="154" t="str">
        <f t="shared" si="17"/>
        <v>6-Coût des ventes</v>
      </c>
      <c r="R257" s="153" t="str">
        <f t="shared" si="18"/>
        <v>4121</v>
      </c>
      <c r="S257" s="154">
        <f t="shared" si="19"/>
        <v>0</v>
      </c>
      <c r="T257" s="156" t="str">
        <f>+VLOOKUP($L257,Data_Validation!$A:$D,1,0)</f>
        <v>5121</v>
      </c>
      <c r="U257" s="156" t="str">
        <f>+VLOOKUP($L257,Data_Validation!$A:$D,3,0)</f>
        <v>Véhicules neufs</v>
      </c>
      <c r="V257" s="156" t="str">
        <f>+VLOOKUP($L257,Data_Validation!$A:$D,4,0)</f>
        <v>Camions détail</v>
      </c>
      <c r="W257" s="156" t="str">
        <f>+VLOOKUP($L257,Data_Validation!$A:$E,5,0)</f>
        <v>$</v>
      </c>
      <c r="X257" s="156">
        <f>+VLOOKUP($L257,Data_Validation!$A:$F,6,0)</f>
        <v>0</v>
      </c>
    </row>
    <row r="258" spans="1:24" ht="15" hidden="1" customHeight="1">
      <c r="A258" s="1147" t="s">
        <v>2836</v>
      </c>
      <c r="B258" s="1147" t="s">
        <v>2837</v>
      </c>
      <c r="C258" s="1149">
        <v>660205.42000000004</v>
      </c>
      <c r="D258" s="1149">
        <v>113469.48</v>
      </c>
      <c r="E258" s="1149">
        <v>773674.9</v>
      </c>
      <c r="F258" s="1147" t="s">
        <v>424</v>
      </c>
      <c r="G258" s="1147" t="s">
        <v>2031</v>
      </c>
      <c r="H258" s="1118"/>
      <c r="I258" s="1118"/>
      <c r="J258" s="1118"/>
      <c r="K258" s="1118"/>
      <c r="L258" s="153" t="str">
        <f t="shared" ref="L258:L321" si="20">+B258</f>
        <v>5127</v>
      </c>
      <c r="M258" s="154" t="str">
        <f t="shared" ref="M258:M321" si="21">+A258</f>
        <v>C/V - GOLF GTI</v>
      </c>
      <c r="N258" s="155">
        <f>+IF(OR($Q258=Parametres!$G$2,$Q258=Parametres!$G$3),I258,C258)</f>
        <v>660205.42000000004</v>
      </c>
      <c r="O258" s="1122">
        <f>+IF(OR($Q258=Parametres!$G$2,$Q258=Parametres!$G$3),J258,D258)</f>
        <v>113469.48</v>
      </c>
      <c r="P258" s="155">
        <f>+IF(OR($Q258=Parametres!$G$2,$Q258=Parametres!$G$3),K258,E258)</f>
        <v>773674.9</v>
      </c>
      <c r="Q258" s="154" t="str">
        <f t="shared" ref="Q258:Q321" si="22">+F258</f>
        <v>6-Coût des ventes</v>
      </c>
      <c r="R258" s="153" t="str">
        <f t="shared" ref="R258:R321" si="23">+G258</f>
        <v>4127</v>
      </c>
      <c r="S258" s="154">
        <f t="shared" ref="S258:S321" si="24">+H258</f>
        <v>0</v>
      </c>
      <c r="T258" s="156" t="str">
        <f>+VLOOKUP($L258,Data_Validation!$A:$D,1,0)</f>
        <v>5127</v>
      </c>
      <c r="U258" s="156" t="str">
        <f>+VLOOKUP($L258,Data_Validation!$A:$D,3,0)</f>
        <v>Véhicules neufs</v>
      </c>
      <c r="V258" s="156" t="str">
        <f>+VLOOKUP($L258,Data_Validation!$A:$D,4,0)</f>
        <v>Autos détail</v>
      </c>
      <c r="W258" s="156" t="str">
        <f>+VLOOKUP($L258,Data_Validation!$A:$E,5,0)</f>
        <v>$</v>
      </c>
      <c r="X258" s="156">
        <f>+VLOOKUP($L258,Data_Validation!$A:$F,6,0)</f>
        <v>0</v>
      </c>
    </row>
    <row r="259" spans="1:24" ht="15" hidden="1" customHeight="1">
      <c r="A259" s="1147" t="s">
        <v>2855</v>
      </c>
      <c r="B259" s="1147" t="s">
        <v>2856</v>
      </c>
      <c r="C259" s="1149">
        <v>5148969.21</v>
      </c>
      <c r="D259" s="1149">
        <v>837991.56</v>
      </c>
      <c r="E259" s="1149">
        <v>5986960.7699999996</v>
      </c>
      <c r="F259" s="1147" t="s">
        <v>424</v>
      </c>
      <c r="G259" s="1147" t="s">
        <v>1999</v>
      </c>
      <c r="H259" s="1118"/>
      <c r="I259" s="1118"/>
      <c r="J259" s="1118"/>
      <c r="K259" s="1118"/>
      <c r="L259" s="153" t="str">
        <f t="shared" si="20"/>
        <v>5131</v>
      </c>
      <c r="M259" s="154" t="str">
        <f t="shared" si="21"/>
        <v>C/V - TIGUAN LWB</v>
      </c>
      <c r="N259" s="155">
        <f>+IF(OR($Q259=Parametres!$G$2,$Q259=Parametres!$G$3),I259,C259)</f>
        <v>5148969.21</v>
      </c>
      <c r="O259" s="1120">
        <f>+IF(OR($Q259=Parametres!$G$2,$Q259=Parametres!$G$3),J259,D259)</f>
        <v>837991.56</v>
      </c>
      <c r="P259" s="155">
        <f>+IF(OR($Q259=Parametres!$G$2,$Q259=Parametres!$G$3),K259,E259)</f>
        <v>5986960.7699999996</v>
      </c>
      <c r="Q259" s="154" t="str">
        <f t="shared" si="22"/>
        <v>6-Coût des ventes</v>
      </c>
      <c r="R259" s="153" t="str">
        <f t="shared" si="23"/>
        <v>4131</v>
      </c>
      <c r="S259" s="154">
        <f t="shared" si="24"/>
        <v>0</v>
      </c>
      <c r="T259" s="156" t="str">
        <f>+VLOOKUP($L259,Data_Validation!$A:$D,1,0)</f>
        <v>5131</v>
      </c>
      <c r="U259" s="156" t="str">
        <f>+VLOOKUP($L259,Data_Validation!$A:$D,3,0)</f>
        <v>Véhicules neufs</v>
      </c>
      <c r="V259" s="156" t="str">
        <f>+VLOOKUP($L259,Data_Validation!$A:$D,4,0)</f>
        <v>Camions détail</v>
      </c>
      <c r="W259" s="156" t="str">
        <f>+VLOOKUP($L259,Data_Validation!$A:$E,5,0)</f>
        <v>$</v>
      </c>
      <c r="X259" s="156">
        <f>+VLOOKUP($L259,Data_Validation!$A:$F,6,0)</f>
        <v>0</v>
      </c>
    </row>
    <row r="260" spans="1:24" ht="15" hidden="1" customHeight="1">
      <c r="A260" s="1147" t="s">
        <v>2838</v>
      </c>
      <c r="B260" s="1147" t="s">
        <v>2839</v>
      </c>
      <c r="C260" s="1149">
        <v>351563.35</v>
      </c>
      <c r="D260" s="1149">
        <v>0</v>
      </c>
      <c r="E260" s="1149">
        <v>351563.35</v>
      </c>
      <c r="F260" s="1147" t="s">
        <v>424</v>
      </c>
      <c r="G260" s="1147" t="s">
        <v>2506</v>
      </c>
      <c r="H260" s="1118"/>
      <c r="I260" s="1118"/>
      <c r="J260" s="1118"/>
      <c r="K260" s="1118"/>
      <c r="L260" s="153" t="str">
        <f t="shared" si="20"/>
        <v>5135</v>
      </c>
      <c r="M260" s="154" t="str">
        <f t="shared" si="21"/>
        <v>C/V - EGOLF</v>
      </c>
      <c r="N260" s="155">
        <f>+IF(OR($Q260=Parametres!$G$2,$Q260=Parametres!$G$3),I260,C260)</f>
        <v>351563.35</v>
      </c>
      <c r="O260" s="1122">
        <f>+IF(OR($Q260=Parametres!$G$2,$Q260=Parametres!$G$3),J260,D260)</f>
        <v>0</v>
      </c>
      <c r="P260" s="155">
        <f>+IF(OR($Q260=Parametres!$G$2,$Q260=Parametres!$G$3),K260,E260)</f>
        <v>351563.35</v>
      </c>
      <c r="Q260" s="154" t="str">
        <f t="shared" si="22"/>
        <v>6-Coût des ventes</v>
      </c>
      <c r="R260" s="153" t="str">
        <f t="shared" si="23"/>
        <v>84135</v>
      </c>
      <c r="S260" s="154">
        <f t="shared" si="24"/>
        <v>0</v>
      </c>
      <c r="T260" s="156" t="str">
        <f>+VLOOKUP($L260,Data_Validation!$A:$D,1,0)</f>
        <v>5135</v>
      </c>
      <c r="U260" s="156" t="str">
        <f>+VLOOKUP($L260,Data_Validation!$A:$D,3,0)</f>
        <v>Véhicules neufs</v>
      </c>
      <c r="V260" s="156" t="str">
        <f>+VLOOKUP($L260,Data_Validation!$A:$D,4,0)</f>
        <v>Autos détail</v>
      </c>
      <c r="W260" s="156" t="str">
        <f>+VLOOKUP($L260,Data_Validation!$A:$E,5,0)</f>
        <v>$</v>
      </c>
      <c r="X260" s="156">
        <f>+VLOOKUP($L260,Data_Validation!$A:$F,6,0)</f>
        <v>0</v>
      </c>
    </row>
    <row r="261" spans="1:24" ht="15" hidden="1" customHeight="1">
      <c r="A261" s="1147" t="s">
        <v>2456</v>
      </c>
      <c r="B261" s="1147" t="s">
        <v>2457</v>
      </c>
      <c r="C261" s="1149">
        <v>633108.72</v>
      </c>
      <c r="D261" s="1149">
        <v>276</v>
      </c>
      <c r="E261" s="1149">
        <v>633384.72</v>
      </c>
      <c r="F261" s="1147" t="s">
        <v>424</v>
      </c>
      <c r="G261" s="1147" t="s">
        <v>2442</v>
      </c>
      <c r="H261" s="150"/>
      <c r="I261" s="151"/>
      <c r="J261" s="151"/>
      <c r="K261" s="151"/>
      <c r="L261" s="153" t="str">
        <f t="shared" si="20"/>
        <v>5137</v>
      </c>
      <c r="M261" s="154" t="str">
        <f t="shared" si="21"/>
        <v>C/V - VW FLOTTE/VENTE ENTR/EMPLOYE/VEH DEMONS</v>
      </c>
      <c r="N261" s="155">
        <f>+IF(OR($Q261=Parametres!$G$2,$Q261=Parametres!$G$3),I261,C261)</f>
        <v>633108.72</v>
      </c>
      <c r="O261" s="1122">
        <f>+IF(OR($Q261=Parametres!$G$2,$Q261=Parametres!$G$3),J261,D261)</f>
        <v>276</v>
      </c>
      <c r="P261" s="155">
        <f>+IF(OR($Q261=Parametres!$G$2,$Q261=Parametres!$G$3),K261,E261)</f>
        <v>633384.72</v>
      </c>
      <c r="Q261" s="154" t="str">
        <f t="shared" si="22"/>
        <v>6-Coût des ventes</v>
      </c>
      <c r="R261" s="153" t="str">
        <f t="shared" si="23"/>
        <v>4137</v>
      </c>
      <c r="S261" s="154">
        <f t="shared" si="24"/>
        <v>0</v>
      </c>
      <c r="T261" s="156" t="str">
        <f>+VLOOKUP($L261,Data_Validation!$A:$D,1,0)</f>
        <v>5137</v>
      </c>
      <c r="U261" s="156" t="str">
        <f>+VLOOKUP($L261,Data_Validation!$A:$D,3,0)</f>
        <v>Véhicules neufs</v>
      </c>
      <c r="V261" s="156" t="str">
        <f>+VLOOKUP($L261,Data_Validation!$A:$D,4,0)</f>
        <v>Flottes</v>
      </c>
      <c r="W261" s="156" t="str">
        <f>+VLOOKUP($L261,Data_Validation!$A:$E,5,0)</f>
        <v>$</v>
      </c>
      <c r="X261" s="156">
        <f>+VLOOKUP($L261,Data_Validation!$A:$F,6,0)</f>
        <v>0</v>
      </c>
    </row>
    <row r="262" spans="1:24" ht="15.75" hidden="1" customHeight="1">
      <c r="A262" s="1147" t="s">
        <v>2456</v>
      </c>
      <c r="B262" s="1147" t="s">
        <v>2849</v>
      </c>
      <c r="C262" s="1149">
        <v>1308505.53</v>
      </c>
      <c r="D262" s="1149">
        <v>180732.53</v>
      </c>
      <c r="E262" s="1149">
        <v>1489238.06</v>
      </c>
      <c r="F262" s="1147" t="s">
        <v>424</v>
      </c>
      <c r="G262" s="1147" t="s">
        <v>2005</v>
      </c>
      <c r="H262" s="150"/>
      <c r="I262" s="157"/>
      <c r="J262" s="157"/>
      <c r="K262" s="157"/>
      <c r="L262" s="153" t="str">
        <f t="shared" si="20"/>
        <v>5139</v>
      </c>
      <c r="M262" s="154" t="str">
        <f t="shared" si="21"/>
        <v>C/V - VW FLOTTE/VENTE ENTR/EMPLOYE/VEH DEMONS</v>
      </c>
      <c r="N262" s="155">
        <f>+IF(OR($Q262=Parametres!$G$2,$Q262=Parametres!$G$3),I262,C262)</f>
        <v>1308505.53</v>
      </c>
      <c r="O262" s="1122">
        <f>+IF(OR($Q262=Parametres!$G$2,$Q262=Parametres!$G$3),J262,D262)</f>
        <v>180732.53</v>
      </c>
      <c r="P262" s="155">
        <f>+IF(OR($Q262=Parametres!$G$2,$Q262=Parametres!$G$3),K262,E262)</f>
        <v>1489238.06</v>
      </c>
      <c r="Q262" s="154" t="str">
        <f t="shared" si="22"/>
        <v>6-Coût des ventes</v>
      </c>
      <c r="R262" s="153" t="str">
        <f t="shared" si="23"/>
        <v>4139</v>
      </c>
      <c r="S262" s="154">
        <f t="shared" si="24"/>
        <v>0</v>
      </c>
      <c r="T262" s="156" t="str">
        <f>+VLOOKUP($L262,Data_Validation!$A:$D,1,0)</f>
        <v>5139</v>
      </c>
      <c r="U262" s="156" t="str">
        <f>+VLOOKUP($L262,Data_Validation!$A:$D,3,0)</f>
        <v>Véhicules neufs</v>
      </c>
      <c r="V262" s="156" t="str">
        <f>+VLOOKUP($L262,Data_Validation!$A:$D,4,0)</f>
        <v>Ex-Démos et courtoisies</v>
      </c>
      <c r="W262" s="156" t="str">
        <f>+VLOOKUP($L262,Data_Validation!$A:$E,5,0)</f>
        <v>$</v>
      </c>
      <c r="X262" s="156">
        <f>+VLOOKUP($L262,Data_Validation!$A:$F,6,0)</f>
        <v>0</v>
      </c>
    </row>
    <row r="263" spans="1:24" ht="15" hidden="1" customHeight="1">
      <c r="A263" s="1147" t="s">
        <v>2852</v>
      </c>
      <c r="B263" s="1147" t="s">
        <v>2853</v>
      </c>
      <c r="C263" s="1149">
        <v>3757370.96</v>
      </c>
      <c r="D263" s="1149">
        <v>847887.96</v>
      </c>
      <c r="E263" s="1149">
        <v>4605258.92</v>
      </c>
      <c r="F263" s="1147" t="s">
        <v>424</v>
      </c>
      <c r="G263" s="1147" t="s">
        <v>2001</v>
      </c>
      <c r="H263" s="1118"/>
      <c r="I263" s="1118"/>
      <c r="J263" s="1118"/>
      <c r="K263" s="1118"/>
      <c r="L263" s="153" t="str">
        <f t="shared" si="20"/>
        <v>5201</v>
      </c>
      <c r="M263" s="154" t="str">
        <f t="shared" si="21"/>
        <v>C/V - VEH.USAGE VW DETAIL CERTIFIE</v>
      </c>
      <c r="N263" s="155">
        <f>+IF(OR($Q263=Parametres!$G$2,$Q263=Parametres!$G$3),I263,C263)</f>
        <v>3757370.96</v>
      </c>
      <c r="O263" s="1122">
        <f>+IF(OR($Q263=Parametres!$G$2,$Q263=Parametres!$G$3),J263,D263)</f>
        <v>847887.96</v>
      </c>
      <c r="P263" s="155">
        <f>+IF(OR($Q263=Parametres!$G$2,$Q263=Parametres!$G$3),K263,E263)</f>
        <v>4605258.92</v>
      </c>
      <c r="Q263" s="154" t="str">
        <f t="shared" si="22"/>
        <v>6-Coût des ventes</v>
      </c>
      <c r="R263" s="153" t="str">
        <f t="shared" si="23"/>
        <v>4201</v>
      </c>
      <c r="S263" s="154">
        <f t="shared" si="24"/>
        <v>0</v>
      </c>
      <c r="T263" s="156" t="str">
        <f>+VLOOKUP($L263,Data_Validation!$A:$D,1,0)</f>
        <v>5201</v>
      </c>
      <c r="U263" s="156" t="str">
        <f>+VLOOKUP($L263,Data_Validation!$A:$D,3,0)</f>
        <v>Véhicules usagés</v>
      </c>
      <c r="V263" s="156" t="str">
        <f>+VLOOKUP($L263,Data_Validation!$A:$D,4,0)</f>
        <v>Certifié</v>
      </c>
      <c r="W263" s="156" t="str">
        <f>+VLOOKUP($L263,Data_Validation!$A:$E,5,0)</f>
        <v>$</v>
      </c>
      <c r="X263" s="156">
        <f>+VLOOKUP($L263,Data_Validation!$A:$F,6,0)</f>
        <v>0</v>
      </c>
    </row>
    <row r="264" spans="1:24" ht="15" hidden="1" customHeight="1">
      <c r="A264" s="1147" t="s">
        <v>2830</v>
      </c>
      <c r="B264" s="1147" t="s">
        <v>2831</v>
      </c>
      <c r="C264" s="1149">
        <v>397782.79</v>
      </c>
      <c r="D264" s="1149">
        <v>75048.92</v>
      </c>
      <c r="E264" s="1149">
        <v>472831.71</v>
      </c>
      <c r="F264" s="1147" t="s">
        <v>424</v>
      </c>
      <c r="G264" s="1147" t="s">
        <v>2001</v>
      </c>
      <c r="H264" s="1118"/>
      <c r="I264" s="1119"/>
      <c r="J264" s="1119"/>
      <c r="K264" s="1119"/>
      <c r="L264" s="153" t="str">
        <f t="shared" si="20"/>
        <v>5203</v>
      </c>
      <c r="M264" s="154" t="str">
        <f t="shared" si="21"/>
        <v>C/V - RECOND USAGE VW CERT.</v>
      </c>
      <c r="N264" s="155">
        <f>+IF(OR($Q264=Parametres!$G$2,$Q264=Parametres!$G$3),I264,C264)</f>
        <v>397782.79</v>
      </c>
      <c r="O264" s="1120">
        <f>+IF(OR($Q264=Parametres!$G$2,$Q264=Parametres!$G$3),J264,D264)</f>
        <v>75048.92</v>
      </c>
      <c r="P264" s="155">
        <f>+IF(OR($Q264=Parametres!$G$2,$Q264=Parametres!$G$3),K264,E264)</f>
        <v>472831.71</v>
      </c>
      <c r="Q264" s="154" t="str">
        <f t="shared" si="22"/>
        <v>6-Coût des ventes</v>
      </c>
      <c r="R264" s="153" t="str">
        <f t="shared" si="23"/>
        <v>4201</v>
      </c>
      <c r="S264" s="154">
        <f t="shared" si="24"/>
        <v>0</v>
      </c>
      <c r="T264" s="156" t="str">
        <f>+VLOOKUP($L264,Data_Validation!$A:$D,1,0)</f>
        <v>5203</v>
      </c>
      <c r="U264" s="156" t="str">
        <f>+VLOOKUP($L264,Data_Validation!$A:$D,3,0)</f>
        <v>Véhicules usagés</v>
      </c>
      <c r="V264" s="156" t="str">
        <f>+VLOOKUP($L264,Data_Validation!$A:$D,4,0)</f>
        <v>Certifié</v>
      </c>
      <c r="W264" s="156" t="str">
        <f>+VLOOKUP($L264,Data_Validation!$A:$E,5,0)</f>
        <v>$</v>
      </c>
      <c r="X264" s="156">
        <f>+VLOOKUP($L264,Data_Validation!$A:$F,6,0)</f>
        <v>0</v>
      </c>
    </row>
    <row r="265" spans="1:24" ht="15" hidden="1" customHeight="1">
      <c r="A265" s="1147" t="s">
        <v>2618</v>
      </c>
      <c r="B265" s="1147" t="s">
        <v>2619</v>
      </c>
      <c r="C265" s="1149">
        <v>1740</v>
      </c>
      <c r="D265" s="1149">
        <v>615</v>
      </c>
      <c r="E265" s="1149">
        <v>2355</v>
      </c>
      <c r="F265" s="1147" t="s">
        <v>424</v>
      </c>
      <c r="G265" s="1147" t="s">
        <v>2444</v>
      </c>
      <c r="H265" s="1118"/>
      <c r="I265" s="1118"/>
      <c r="J265" s="1118"/>
      <c r="K265" s="1118"/>
      <c r="L265" s="153" t="str">
        <f t="shared" si="20"/>
        <v>5211</v>
      </c>
      <c r="M265" s="154" t="str">
        <f t="shared" si="21"/>
        <v>C/V - VW USAGES DETAIL</v>
      </c>
      <c r="N265" s="155">
        <f>+IF(OR($Q265=Parametres!$G$2,$Q265=Parametres!$G$3),I265,C265)</f>
        <v>1740</v>
      </c>
      <c r="O265" s="1120">
        <f>+IF(OR($Q265=Parametres!$G$2,$Q265=Parametres!$G$3),J265,D265)</f>
        <v>615</v>
      </c>
      <c r="P265" s="155">
        <f>+IF(OR($Q265=Parametres!$G$2,$Q265=Parametres!$G$3),K265,E265)</f>
        <v>2355</v>
      </c>
      <c r="Q265" s="154" t="str">
        <f t="shared" si="22"/>
        <v>6-Coût des ventes</v>
      </c>
      <c r="R265" s="153" t="str">
        <f t="shared" si="23"/>
        <v>4211</v>
      </c>
      <c r="S265" s="154">
        <f t="shared" si="24"/>
        <v>0</v>
      </c>
      <c r="T265" s="156" t="str">
        <f>+VLOOKUP($L265,Data_Validation!$A:$D,1,0)</f>
        <v>5211</v>
      </c>
      <c r="U265" s="156" t="str">
        <f>+VLOOKUP($L265,Data_Validation!$A:$D,3,0)</f>
        <v>Véhicules usagés</v>
      </c>
      <c r="V265" s="156" t="str">
        <f>+VLOOKUP($L265,Data_Validation!$A:$D,4,0)</f>
        <v>Non Certifié</v>
      </c>
      <c r="W265" s="156" t="str">
        <f>+VLOOKUP($L265,Data_Validation!$A:$E,5,0)</f>
        <v>$</v>
      </c>
      <c r="X265" s="156">
        <f>+VLOOKUP($L265,Data_Validation!$A:$F,6,0)</f>
        <v>0</v>
      </c>
    </row>
    <row r="266" spans="1:24" ht="15" hidden="1" customHeight="1">
      <c r="A266" s="1147" t="s">
        <v>2458</v>
      </c>
      <c r="B266" s="1147" t="s">
        <v>2459</v>
      </c>
      <c r="C266" s="1149">
        <v>659.42</v>
      </c>
      <c r="D266" s="1149">
        <v>0</v>
      </c>
      <c r="E266" s="1149">
        <v>659.42</v>
      </c>
      <c r="F266" s="1147" t="s">
        <v>424</v>
      </c>
      <c r="G266" s="1147" t="s">
        <v>2444</v>
      </c>
      <c r="H266" s="1118"/>
      <c r="I266" s="1118"/>
      <c r="J266" s="1118"/>
      <c r="K266" s="1118"/>
      <c r="L266" s="153" t="str">
        <f t="shared" si="20"/>
        <v>5213</v>
      </c>
      <c r="M266" s="154" t="str">
        <f t="shared" si="21"/>
        <v>C/V - RECOND. USAGE VW DETAIL</v>
      </c>
      <c r="N266" s="155">
        <f>+IF(OR($Q266=Parametres!$G$2,$Q266=Parametres!$G$3),I266,C266)</f>
        <v>659.42</v>
      </c>
      <c r="O266" s="1122">
        <f>+IF(OR($Q266=Parametres!$G$2,$Q266=Parametres!$G$3),J266,D266)</f>
        <v>0</v>
      </c>
      <c r="P266" s="155">
        <f>+IF(OR($Q266=Parametres!$G$2,$Q266=Parametres!$G$3),K266,E266)</f>
        <v>659.42</v>
      </c>
      <c r="Q266" s="154" t="str">
        <f t="shared" si="22"/>
        <v>6-Coût des ventes</v>
      </c>
      <c r="R266" s="153" t="str">
        <f t="shared" si="23"/>
        <v>4211</v>
      </c>
      <c r="S266" s="154">
        <f t="shared" si="24"/>
        <v>0</v>
      </c>
      <c r="T266" s="156" t="str">
        <f>+VLOOKUP($L266,Data_Validation!$A:$D,1,0)</f>
        <v>5213</v>
      </c>
      <c r="U266" s="156" t="str">
        <f>+VLOOKUP($L266,Data_Validation!$A:$D,3,0)</f>
        <v>Véhicules usagés</v>
      </c>
      <c r="V266" s="156" t="str">
        <f>+VLOOKUP($L266,Data_Validation!$A:$D,4,0)</f>
        <v>Non Certifié</v>
      </c>
      <c r="W266" s="156" t="str">
        <f>+VLOOKUP($L266,Data_Validation!$A:$E,5,0)</f>
        <v>$</v>
      </c>
      <c r="X266" s="156">
        <f>+VLOOKUP($L266,Data_Validation!$A:$F,6,0)</f>
        <v>0</v>
      </c>
    </row>
    <row r="267" spans="1:24" ht="15" hidden="1" customHeight="1">
      <c r="A267" s="1147" t="s">
        <v>2038</v>
      </c>
      <c r="B267" s="1147" t="s">
        <v>2827</v>
      </c>
      <c r="C267" s="1149">
        <v>116075</v>
      </c>
      <c r="D267" s="1149">
        <v>10082.299999999999</v>
      </c>
      <c r="E267" s="1149">
        <v>126157.3</v>
      </c>
      <c r="F267" s="1147" t="s">
        <v>424</v>
      </c>
      <c r="G267" s="1147" t="s">
        <v>2040</v>
      </c>
      <c r="H267" s="1118"/>
      <c r="I267" s="1118"/>
      <c r="J267" s="1118"/>
      <c r="K267" s="1118"/>
      <c r="L267" s="153" t="str">
        <f t="shared" si="20"/>
        <v>5285</v>
      </c>
      <c r="M267" s="154" t="str">
        <f t="shared" si="21"/>
        <v>VEH. D'OCC. AUTRE DETAIL</v>
      </c>
      <c r="N267" s="155">
        <f>+IF(OR($Q267=Parametres!$G$2,$Q267=Parametres!$G$3),I267,C267)</f>
        <v>116075</v>
      </c>
      <c r="O267" s="1122">
        <f>+IF(OR($Q267=Parametres!$G$2,$Q267=Parametres!$G$3),J267,D267)</f>
        <v>10082.299999999999</v>
      </c>
      <c r="P267" s="155">
        <f>+IF(OR($Q267=Parametres!$G$2,$Q267=Parametres!$G$3),K267,E267)</f>
        <v>126157.3</v>
      </c>
      <c r="Q267" s="154" t="str">
        <f t="shared" si="22"/>
        <v>6-Coût des ventes</v>
      </c>
      <c r="R267" s="153" t="str">
        <f t="shared" si="23"/>
        <v>4261</v>
      </c>
      <c r="S267" s="154">
        <f t="shared" si="24"/>
        <v>0</v>
      </c>
      <c r="T267" s="156" t="str">
        <f>+VLOOKUP($L267,Data_Validation!$A:$D,1,0)</f>
        <v>5285</v>
      </c>
      <c r="U267" s="156" t="str">
        <f>+VLOOKUP($L267,Data_Validation!$A:$D,3,0)</f>
        <v>Véhicules usagés</v>
      </c>
      <c r="V267" s="156" t="str">
        <f>+VLOOKUP($L267,Data_Validation!$A:$D,4,0)</f>
        <v>Non Certifié</v>
      </c>
      <c r="W267" s="156" t="str">
        <f>+VLOOKUP($L267,Data_Validation!$A:$E,5,0)</f>
        <v>$</v>
      </c>
      <c r="X267" s="156">
        <f>+VLOOKUP($L267,Data_Validation!$A:$F,6,0)</f>
        <v>0</v>
      </c>
    </row>
    <row r="268" spans="1:24" ht="15" hidden="1" customHeight="1">
      <c r="A268" s="1147" t="s">
        <v>2672</v>
      </c>
      <c r="B268" s="1147" t="s">
        <v>2673</v>
      </c>
      <c r="C268" s="1149">
        <v>3500.61</v>
      </c>
      <c r="D268" s="1149">
        <v>0</v>
      </c>
      <c r="E268" s="1149">
        <v>3500.61</v>
      </c>
      <c r="F268" s="1147" t="s">
        <v>424</v>
      </c>
      <c r="G268" s="1147" t="s">
        <v>2040</v>
      </c>
      <c r="H268" s="1118"/>
      <c r="I268" s="1119"/>
      <c r="J268" s="1119"/>
      <c r="K268" s="1119"/>
      <c r="L268" s="153" t="str">
        <f t="shared" si="20"/>
        <v>5286</v>
      </c>
      <c r="M268" s="154" t="str">
        <f t="shared" si="21"/>
        <v>RECOND. AUTRE DETAIL</v>
      </c>
      <c r="N268" s="155">
        <f>+IF(OR($Q268=Parametres!$G$2,$Q268=Parametres!$G$3),I268,C268)</f>
        <v>3500.61</v>
      </c>
      <c r="O268" s="1122">
        <f>+IF(OR($Q268=Parametres!$G$2,$Q268=Parametres!$G$3),J268,D268)</f>
        <v>0</v>
      </c>
      <c r="P268" s="155">
        <f>+IF(OR($Q268=Parametres!$G$2,$Q268=Parametres!$G$3),K268,E268)</f>
        <v>3500.61</v>
      </c>
      <c r="Q268" s="154" t="str">
        <f t="shared" si="22"/>
        <v>6-Coût des ventes</v>
      </c>
      <c r="R268" s="153" t="str">
        <f t="shared" si="23"/>
        <v>4261</v>
      </c>
      <c r="S268" s="154">
        <f t="shared" si="24"/>
        <v>0</v>
      </c>
      <c r="T268" s="156" t="str">
        <f>+VLOOKUP($L268,Data_Validation!$A:$D,1,0)</f>
        <v>5286</v>
      </c>
      <c r="U268" s="156" t="str">
        <f>+VLOOKUP($L268,Data_Validation!$A:$D,3,0)</f>
        <v>Véhicules usagés</v>
      </c>
      <c r="V268" s="156" t="str">
        <f>+VLOOKUP($L268,Data_Validation!$A:$D,4,0)</f>
        <v>Non Certifié</v>
      </c>
      <c r="W268" s="156" t="str">
        <f>+VLOOKUP($L268,Data_Validation!$A:$E,5,0)</f>
        <v>$</v>
      </c>
      <c r="X268" s="156">
        <f>+VLOOKUP($L268,Data_Validation!$A:$F,6,0)</f>
        <v>0</v>
      </c>
    </row>
    <row r="269" spans="1:24" ht="15" hidden="1" customHeight="1">
      <c r="A269" s="1147" t="s">
        <v>2006</v>
      </c>
      <c r="B269" s="1147" t="s">
        <v>2848</v>
      </c>
      <c r="C269" s="1149">
        <v>2483221.36</v>
      </c>
      <c r="D269" s="1149">
        <v>676970.24</v>
      </c>
      <c r="E269" s="1149">
        <v>3160191.6</v>
      </c>
      <c r="F269" s="1147" t="s">
        <v>424</v>
      </c>
      <c r="G269" s="1147" t="s">
        <v>2008</v>
      </c>
      <c r="H269" s="150"/>
      <c r="I269" s="151"/>
      <c r="J269" s="151"/>
      <c r="K269" s="151"/>
      <c r="L269" s="153" t="str">
        <f t="shared" si="20"/>
        <v>5291</v>
      </c>
      <c r="M269" s="154" t="str">
        <f t="shared" si="21"/>
        <v>VEH. D'OCC. AU GROS</v>
      </c>
      <c r="N269" s="155">
        <f>+IF(OR($Q269=Parametres!$G$2,$Q269=Parametres!$G$3),I269,C269)</f>
        <v>2483221.36</v>
      </c>
      <c r="O269" s="1122">
        <f>+IF(OR($Q269=Parametres!$G$2,$Q269=Parametres!$G$3),J269,D269)</f>
        <v>676970.24</v>
      </c>
      <c r="P269" s="155">
        <f>+IF(OR($Q269=Parametres!$G$2,$Q269=Parametres!$G$3),K269,E269)</f>
        <v>3160191.6</v>
      </c>
      <c r="Q269" s="154" t="str">
        <f t="shared" si="22"/>
        <v>6-Coût des ventes</v>
      </c>
      <c r="R269" s="153" t="str">
        <f t="shared" si="23"/>
        <v>4281</v>
      </c>
      <c r="S269" s="154">
        <f t="shared" si="24"/>
        <v>0</v>
      </c>
      <c r="T269" s="156" t="str">
        <f>+VLOOKUP($L269,Data_Validation!$A:$D,1,0)</f>
        <v>5291</v>
      </c>
      <c r="U269" s="156" t="str">
        <f>+VLOOKUP($L269,Data_Validation!$A:$D,3,0)</f>
        <v>Véhicules usagés</v>
      </c>
      <c r="V269" s="156" t="str">
        <f>+VLOOKUP($L269,Data_Validation!$A:$D,4,0)</f>
        <v>Ventes au Gros</v>
      </c>
      <c r="W269" s="156" t="str">
        <f>+VLOOKUP($L269,Data_Validation!$A:$E,5,0)</f>
        <v>$</v>
      </c>
      <c r="X269" s="156">
        <f>+VLOOKUP($L269,Data_Validation!$A:$F,6,0)</f>
        <v>0</v>
      </c>
    </row>
    <row r="270" spans="1:24" ht="15" hidden="1" customHeight="1">
      <c r="A270" s="1147" t="s">
        <v>2828</v>
      </c>
      <c r="B270" s="1147" t="s">
        <v>2829</v>
      </c>
      <c r="C270" s="1149">
        <v>135800.1</v>
      </c>
      <c r="D270" s="1149">
        <v>16141.05</v>
      </c>
      <c r="E270" s="1149">
        <v>151941.15</v>
      </c>
      <c r="F270" s="1147" t="s">
        <v>424</v>
      </c>
      <c r="G270" s="1147" t="s">
        <v>2012</v>
      </c>
      <c r="H270" s="150"/>
      <c r="I270" s="151"/>
      <c r="J270" s="151"/>
      <c r="K270" s="151"/>
      <c r="L270" s="153" t="str">
        <f t="shared" si="20"/>
        <v>5401</v>
      </c>
      <c r="M270" s="154" t="str">
        <f t="shared" si="21"/>
        <v>COUT M.O. MECANIQUE CLIENTS</v>
      </c>
      <c r="N270" s="155">
        <f>+IF(OR($Q270=Parametres!$G$2,$Q270=Parametres!$G$3),I270,C270)</f>
        <v>135800.1</v>
      </c>
      <c r="O270" s="1122">
        <f>+IF(OR($Q270=Parametres!$G$2,$Q270=Parametres!$G$3),J270,D270)</f>
        <v>16141.05</v>
      </c>
      <c r="P270" s="155">
        <f>+IF(OR($Q270=Parametres!$G$2,$Q270=Parametres!$G$3),K270,E270)</f>
        <v>151941.15</v>
      </c>
      <c r="Q270" s="154" t="str">
        <f t="shared" si="22"/>
        <v>6-Coût des ventes</v>
      </c>
      <c r="R270" s="153" t="str">
        <f t="shared" si="23"/>
        <v>4401</v>
      </c>
      <c r="S270" s="154">
        <f t="shared" si="24"/>
        <v>0</v>
      </c>
      <c r="T270" s="156" t="str">
        <f>+VLOOKUP($L270,Data_Validation!$A:$D,1,0)</f>
        <v>5401</v>
      </c>
      <c r="U270" s="156" t="str">
        <f>+VLOOKUP($L270,Data_Validation!$A:$D,3,0)</f>
        <v>Service</v>
      </c>
      <c r="V270" s="156" t="str">
        <f>+VLOOKUP($L270,Data_Validation!$A:$D,4,0)</f>
        <v>M/O Client</v>
      </c>
      <c r="W270" s="156" t="str">
        <f>+VLOOKUP($L270,Data_Validation!$A:$E,5,0)</f>
        <v>$</v>
      </c>
      <c r="X270" s="156">
        <f>+VLOOKUP($L270,Data_Validation!$A:$F,6,0)</f>
        <v>0</v>
      </c>
    </row>
    <row r="271" spans="1:24" ht="15" hidden="1" customHeight="1">
      <c r="A271" s="1147" t="s">
        <v>2566</v>
      </c>
      <c r="B271" s="1147" t="s">
        <v>2567</v>
      </c>
      <c r="C271" s="1149">
        <v>376.76</v>
      </c>
      <c r="D271" s="1149">
        <v>0</v>
      </c>
      <c r="E271" s="1149">
        <v>376.76</v>
      </c>
      <c r="F271" s="1147" t="s">
        <v>424</v>
      </c>
      <c r="G271" s="1147" t="s">
        <v>2192</v>
      </c>
      <c r="H271" s="948"/>
      <c r="I271" s="948"/>
      <c r="J271" s="948"/>
      <c r="K271" s="948"/>
      <c r="L271" s="153" t="str">
        <f t="shared" si="20"/>
        <v>5402</v>
      </c>
      <c r="M271" s="154" t="str">
        <f t="shared" si="21"/>
        <v>C/V - M.O. ESTHETIQUE CLIENT</v>
      </c>
      <c r="N271" s="155">
        <f>+IF(OR($Q271=Parametres!$G$2,$Q271=Parametres!$G$3),I271,C271)</f>
        <v>376.76</v>
      </c>
      <c r="O271" s="1122">
        <f>+IF(OR($Q271=Parametres!$G$2,$Q271=Parametres!$G$3),J271,D271)</f>
        <v>0</v>
      </c>
      <c r="P271" s="155">
        <f>+IF(OR($Q271=Parametres!$G$2,$Q271=Parametres!$G$3),K271,E271)</f>
        <v>376.76</v>
      </c>
      <c r="Q271" s="154" t="str">
        <f t="shared" si="22"/>
        <v>6-Coût des ventes</v>
      </c>
      <c r="R271" s="153" t="str">
        <f t="shared" si="23"/>
        <v>4402</v>
      </c>
      <c r="S271" s="154">
        <f t="shared" si="24"/>
        <v>0</v>
      </c>
      <c r="T271" s="156" t="str">
        <f>+VLOOKUP($L271,Data_Validation!$A:$D,1,0)</f>
        <v>5402</v>
      </c>
      <c r="U271" s="156" t="str">
        <f>+VLOOKUP($L271,Data_Validation!$A:$D,3,0)</f>
        <v>Service</v>
      </c>
      <c r="V271" s="156" t="str">
        <f>+VLOOKUP($L271,Data_Validation!$A:$D,4,0)</f>
        <v>M/O Esthétique</v>
      </c>
      <c r="W271" s="156" t="str">
        <f>+VLOOKUP($L271,Data_Validation!$A:$E,5,0)</f>
        <v>$</v>
      </c>
      <c r="X271" s="156">
        <f>+VLOOKUP($L271,Data_Validation!$A:$F,6,0)</f>
        <v>0</v>
      </c>
    </row>
    <row r="272" spans="1:24" ht="15.75" hidden="1" customHeight="1">
      <c r="A272" s="1147" t="s">
        <v>2791</v>
      </c>
      <c r="B272" s="1147" t="s">
        <v>2792</v>
      </c>
      <c r="C272" s="1149">
        <v>101437.92</v>
      </c>
      <c r="D272" s="1149">
        <v>12408.18</v>
      </c>
      <c r="E272" s="1149">
        <v>113846.1</v>
      </c>
      <c r="F272" s="1147" t="s">
        <v>424</v>
      </c>
      <c r="G272" s="1147" t="s">
        <v>2042</v>
      </c>
      <c r="H272" s="150"/>
      <c r="I272" s="157"/>
      <c r="J272" s="157"/>
      <c r="K272" s="157"/>
      <c r="L272" s="153" t="str">
        <f t="shared" si="20"/>
        <v>5403</v>
      </c>
      <c r="M272" s="154" t="str">
        <f t="shared" si="21"/>
        <v>COUT MEC VENTE GARANTIE MANUF</v>
      </c>
      <c r="N272" s="155">
        <f>+IF(OR($Q272=Parametres!$G$2,$Q272=Parametres!$G$3),I272,C272)</f>
        <v>101437.92</v>
      </c>
      <c r="O272" s="1122">
        <f>+IF(OR($Q272=Parametres!$G$2,$Q272=Parametres!$G$3),J272,D272)</f>
        <v>12408.18</v>
      </c>
      <c r="P272" s="155">
        <f>+IF(OR($Q272=Parametres!$G$2,$Q272=Parametres!$G$3),K272,E272)</f>
        <v>113846.1</v>
      </c>
      <c r="Q272" s="154" t="str">
        <f t="shared" si="22"/>
        <v>6-Coût des ventes</v>
      </c>
      <c r="R272" s="153" t="str">
        <f t="shared" si="23"/>
        <v>4403</v>
      </c>
      <c r="S272" s="154">
        <f t="shared" si="24"/>
        <v>0</v>
      </c>
      <c r="T272" s="156" t="str">
        <f>+VLOOKUP($L272,Data_Validation!$A:$D,1,0)</f>
        <v>5403</v>
      </c>
      <c r="U272" s="156" t="str">
        <f>+VLOOKUP($L272,Data_Validation!$A:$D,3,0)</f>
        <v>Service</v>
      </c>
      <c r="V272" s="156" t="str">
        <f>+VLOOKUP($L272,Data_Validation!$A:$D,4,0)</f>
        <v>M/O Garantie</v>
      </c>
      <c r="W272" s="156" t="str">
        <f>+VLOOKUP($L272,Data_Validation!$A:$E,5,0)</f>
        <v>$</v>
      </c>
      <c r="X272" s="156">
        <f>+VLOOKUP($L272,Data_Validation!$A:$F,6,0)</f>
        <v>0</v>
      </c>
    </row>
    <row r="273" spans="1:24" ht="15" hidden="1" customHeight="1">
      <c r="A273" s="1147" t="s">
        <v>2777</v>
      </c>
      <c r="B273" s="1147" t="s">
        <v>2778</v>
      </c>
      <c r="C273" s="1149">
        <v>89130.92</v>
      </c>
      <c r="D273" s="1149">
        <v>12525.52</v>
      </c>
      <c r="E273" s="1149">
        <v>101656.44</v>
      </c>
      <c r="F273" s="1147" t="s">
        <v>424</v>
      </c>
      <c r="G273" s="1147" t="s">
        <v>2052</v>
      </c>
      <c r="H273" s="948"/>
      <c r="I273" s="948"/>
      <c r="J273" s="948"/>
      <c r="K273" s="948"/>
      <c r="L273" s="153" t="str">
        <f t="shared" si="20"/>
        <v>5405</v>
      </c>
      <c r="M273" s="154" t="str">
        <f t="shared" si="21"/>
        <v>C D V VENTES M OINTERNE</v>
      </c>
      <c r="N273" s="155">
        <f>+IF(OR($Q273=Parametres!$G$2,$Q273=Parametres!$G$3),I273,C273)</f>
        <v>89130.92</v>
      </c>
      <c r="O273" s="1120">
        <f>+IF(OR($Q273=Parametres!$G$2,$Q273=Parametres!$G$3),J273,D273)</f>
        <v>12525.52</v>
      </c>
      <c r="P273" s="155">
        <f>+IF(OR($Q273=Parametres!$G$2,$Q273=Parametres!$G$3),K273,E273)</f>
        <v>101656.44</v>
      </c>
      <c r="Q273" s="154" t="str">
        <f t="shared" si="22"/>
        <v>6-Coût des ventes</v>
      </c>
      <c r="R273" s="153" t="str">
        <f t="shared" si="23"/>
        <v>4405</v>
      </c>
      <c r="S273" s="154">
        <f t="shared" si="24"/>
        <v>0</v>
      </c>
      <c r="T273" s="156" t="str">
        <f>+VLOOKUP($L273,Data_Validation!$A:$D,1,0)</f>
        <v>5405</v>
      </c>
      <c r="U273" s="156" t="str">
        <f>+VLOOKUP($L273,Data_Validation!$A:$D,3,0)</f>
        <v>Service</v>
      </c>
      <c r="V273" s="156" t="str">
        <f>+VLOOKUP($L273,Data_Validation!$A:$D,4,0)</f>
        <v>M/O Interne</v>
      </c>
      <c r="W273" s="156" t="str">
        <f>+VLOOKUP($L273,Data_Validation!$A:$E,5,0)</f>
        <v>$</v>
      </c>
      <c r="X273" s="156">
        <f>+VLOOKUP($L273,Data_Validation!$A:$F,6,0)</f>
        <v>0</v>
      </c>
    </row>
    <row r="274" spans="1:24" ht="15" hidden="1" customHeight="1">
      <c r="A274" s="1147" t="s">
        <v>2725</v>
      </c>
      <c r="B274" s="1147" t="s">
        <v>2726</v>
      </c>
      <c r="C274" s="1149">
        <v>19238.47</v>
      </c>
      <c r="D274" s="1149">
        <v>2113.92</v>
      </c>
      <c r="E274" s="1149">
        <v>21352.39</v>
      </c>
      <c r="F274" s="1147" t="s">
        <v>424</v>
      </c>
      <c r="G274" s="1147" t="s">
        <v>2727</v>
      </c>
      <c r="H274" s="1118"/>
      <c r="I274" s="1119"/>
      <c r="J274" s="1119"/>
      <c r="K274" s="1119"/>
      <c r="L274" s="153" t="str">
        <f t="shared" si="20"/>
        <v>5416</v>
      </c>
      <c r="M274" s="154" t="str">
        <f t="shared" si="21"/>
        <v>C/V - TEMPS MORT M.O. SERVICE</v>
      </c>
      <c r="N274" s="155">
        <f>+IF(OR($Q274=Parametres!$G$2,$Q274=Parametres!$G$3),I274,C274)</f>
        <v>19238.47</v>
      </c>
      <c r="O274" s="1122">
        <f>+IF(OR($Q274=Parametres!$G$2,$Q274=Parametres!$G$3),J274,D274)</f>
        <v>2113.92</v>
      </c>
      <c r="P274" s="155">
        <f>+IF(OR($Q274=Parametres!$G$2,$Q274=Parametres!$G$3),K274,E274)</f>
        <v>21352.39</v>
      </c>
      <c r="Q274" s="154" t="str">
        <f t="shared" si="22"/>
        <v>6-Coût des ventes</v>
      </c>
      <c r="R274" s="153" t="str">
        <f t="shared" si="23"/>
        <v>4416</v>
      </c>
      <c r="S274" s="154">
        <f t="shared" si="24"/>
        <v>0</v>
      </c>
      <c r="T274" s="156" t="str">
        <f>+VLOOKUP($L274,Data_Validation!$A:$D,1,0)</f>
        <v>5416</v>
      </c>
      <c r="U274" s="156" t="str">
        <f>+VLOOKUP($L274,Data_Validation!$A:$D,3,0)</f>
        <v>Service</v>
      </c>
      <c r="V274" s="156" t="str">
        <f>+VLOOKUP($L274,Data_Validation!$A:$D,4,0)</f>
        <v>Ajustement M/O</v>
      </c>
      <c r="W274" s="156" t="str">
        <f>+VLOOKUP($L274,Data_Validation!$A:$E,5,0)</f>
        <v>$</v>
      </c>
      <c r="X274" s="156">
        <f>+VLOOKUP($L274,Data_Validation!$A:$F,6,0)</f>
        <v>0</v>
      </c>
    </row>
    <row r="275" spans="1:24" ht="15" hidden="1" customHeight="1">
      <c r="A275" s="1147" t="s">
        <v>2071</v>
      </c>
      <c r="B275" s="1147" t="s">
        <v>2802</v>
      </c>
      <c r="C275" s="1149">
        <v>70941.97</v>
      </c>
      <c r="D275" s="1149">
        <v>13392.72</v>
      </c>
      <c r="E275" s="1149">
        <v>84334.69</v>
      </c>
      <c r="F275" s="1147" t="s">
        <v>424</v>
      </c>
      <c r="G275" s="1147" t="s">
        <v>2073</v>
      </c>
      <c r="H275" s="1118"/>
      <c r="I275" s="1126"/>
      <c r="J275" s="1118"/>
      <c r="K275" s="1126"/>
      <c r="L275" s="153" t="str">
        <f t="shared" si="20"/>
        <v>5451</v>
      </c>
      <c r="M275" s="154" t="str">
        <f t="shared" si="21"/>
        <v>CARBURANT/HUILE/GRAISSE</v>
      </c>
      <c r="N275" s="155">
        <f>+IF(OR($Q275=Parametres!$G$2,$Q275=Parametres!$G$3),I275,C275)</f>
        <v>70941.97</v>
      </c>
      <c r="O275" s="1120">
        <f>+IF(OR($Q275=Parametres!$G$2,$Q275=Parametres!$G$3),J275,D275)</f>
        <v>13392.72</v>
      </c>
      <c r="P275" s="155">
        <f>+IF(OR($Q275=Parametres!$G$2,$Q275=Parametres!$G$3),K275,E275)</f>
        <v>84334.69</v>
      </c>
      <c r="Q275" s="154" t="str">
        <f t="shared" si="22"/>
        <v>6-Coût des ventes</v>
      </c>
      <c r="R275" s="153" t="str">
        <f t="shared" si="23"/>
        <v>4782</v>
      </c>
      <c r="S275" s="154">
        <f t="shared" si="24"/>
        <v>0</v>
      </c>
      <c r="T275" s="156" t="str">
        <f>+VLOOKUP($L275,Data_Validation!$A:$D,1,0)</f>
        <v>5451</v>
      </c>
      <c r="U275" s="156" t="str">
        <f>+VLOOKUP($L275,Data_Validation!$A:$D,3,0)</f>
        <v>Pièces</v>
      </c>
      <c r="V275" s="156" t="str">
        <f>+VLOOKUP($L275,Data_Validation!$A:$D,4,0)</f>
        <v>Huiles et Graisse</v>
      </c>
      <c r="W275" s="156" t="str">
        <f>+VLOOKUP($L275,Data_Validation!$A:$E,5,0)</f>
        <v>$</v>
      </c>
      <c r="X275" s="156">
        <f>+VLOOKUP($L275,Data_Validation!$A:$F,6,0)</f>
        <v>0</v>
      </c>
    </row>
    <row r="276" spans="1:24" ht="15" hidden="1" customHeight="1">
      <c r="A276" s="1147" t="s">
        <v>2144</v>
      </c>
      <c r="B276" s="1147" t="s">
        <v>2713</v>
      </c>
      <c r="C276" s="1149">
        <v>7176</v>
      </c>
      <c r="D276" s="1149">
        <v>630.22</v>
      </c>
      <c r="E276" s="1149">
        <v>7806.22</v>
      </c>
      <c r="F276" s="1147" t="s">
        <v>424</v>
      </c>
      <c r="G276" s="1147" t="s">
        <v>2145</v>
      </c>
      <c r="H276" s="1118"/>
      <c r="I276" s="1119"/>
      <c r="J276" s="1119"/>
      <c r="K276" s="1119"/>
      <c r="L276" s="153" t="str">
        <f t="shared" si="20"/>
        <v>5491</v>
      </c>
      <c r="M276" s="154" t="str">
        <f t="shared" si="21"/>
        <v>REPARATION SOUS-LOC. - GENERAL</v>
      </c>
      <c r="N276" s="155">
        <f>+IF(OR($Q276=Parametres!$G$2,$Q276=Parametres!$G$3),I276,C276)</f>
        <v>7176</v>
      </c>
      <c r="O276" s="1120">
        <f>+IF(OR($Q276=Parametres!$G$2,$Q276=Parametres!$G$3),J276,D276)</f>
        <v>630.22</v>
      </c>
      <c r="P276" s="155">
        <f>+IF(OR($Q276=Parametres!$G$2,$Q276=Parametres!$G$3),K276,E276)</f>
        <v>7806.22</v>
      </c>
      <c r="Q276" s="154" t="str">
        <f t="shared" si="22"/>
        <v>6-Coût des ventes</v>
      </c>
      <c r="R276" s="153" t="str">
        <f t="shared" si="23"/>
        <v>4491</v>
      </c>
      <c r="S276" s="154">
        <f t="shared" si="24"/>
        <v>0</v>
      </c>
      <c r="T276" s="156" t="str">
        <f>+VLOOKUP($L276,Data_Validation!$A:$D,1,0)</f>
        <v>5491</v>
      </c>
      <c r="U276" s="156" t="str">
        <f>+VLOOKUP($L276,Data_Validation!$A:$D,3,0)</f>
        <v>Service</v>
      </c>
      <c r="V276" s="156" t="str">
        <f>+VLOOKUP($L276,Data_Validation!$A:$D,4,0)</f>
        <v>Sous-traitement</v>
      </c>
      <c r="W276" s="156" t="str">
        <f>+VLOOKUP($L276,Data_Validation!$A:$E,5,0)</f>
        <v>$</v>
      </c>
      <c r="X276" s="156">
        <f>+VLOOKUP($L276,Data_Validation!$A:$F,6,0)</f>
        <v>0</v>
      </c>
    </row>
    <row r="277" spans="1:24" ht="15" hidden="1" customHeight="1">
      <c r="A277" s="1147" t="s">
        <v>2687</v>
      </c>
      <c r="B277" s="1147" t="s">
        <v>2688</v>
      </c>
      <c r="C277" s="1149">
        <v>15607.26</v>
      </c>
      <c r="D277" s="1149">
        <v>520.71</v>
      </c>
      <c r="E277" s="1149">
        <v>16127.97</v>
      </c>
      <c r="F277" s="1147" t="s">
        <v>424</v>
      </c>
      <c r="G277" s="1147" t="s">
        <v>2168</v>
      </c>
      <c r="H277" s="150"/>
      <c r="I277" s="157"/>
      <c r="J277" s="157"/>
      <c r="K277" s="157"/>
      <c r="L277" s="153" t="str">
        <f t="shared" si="20"/>
        <v>5493</v>
      </c>
      <c r="M277" s="154" t="str">
        <f t="shared" si="21"/>
        <v>C/V - SOUS-TRAITANCE GARANTIE</v>
      </c>
      <c r="N277" s="155">
        <f>+IF(OR($Q277=Parametres!$G$2,$Q277=Parametres!$G$3),I277,C277)</f>
        <v>15607.26</v>
      </c>
      <c r="O277" s="1122">
        <f>+IF(OR($Q277=Parametres!$G$2,$Q277=Parametres!$G$3),J277,D277)</f>
        <v>520.71</v>
      </c>
      <c r="P277" s="155">
        <f>+IF(OR($Q277=Parametres!$G$2,$Q277=Parametres!$G$3),K277,E277)</f>
        <v>16127.97</v>
      </c>
      <c r="Q277" s="154" t="str">
        <f t="shared" si="22"/>
        <v>6-Coût des ventes</v>
      </c>
      <c r="R277" s="153" t="str">
        <f t="shared" si="23"/>
        <v>4493</v>
      </c>
      <c r="S277" s="154">
        <f t="shared" si="24"/>
        <v>0</v>
      </c>
      <c r="T277" s="156" t="str">
        <f>+VLOOKUP($L277,Data_Validation!$A:$D,1,0)</f>
        <v>5493</v>
      </c>
      <c r="U277" s="156" t="str">
        <f>+VLOOKUP($L277,Data_Validation!$A:$D,3,0)</f>
        <v>Service</v>
      </c>
      <c r="V277" s="156" t="str">
        <f>+VLOOKUP($L277,Data_Validation!$A:$D,4,0)</f>
        <v>Sous-traitement</v>
      </c>
      <c r="W277" s="156" t="str">
        <f>+VLOOKUP($L277,Data_Validation!$A:$E,5,0)</f>
        <v>$</v>
      </c>
      <c r="X277" s="156">
        <f>+VLOOKUP($L277,Data_Validation!$A:$F,6,0)</f>
        <v>0</v>
      </c>
    </row>
    <row r="278" spans="1:24" ht="15" hidden="1" customHeight="1">
      <c r="A278" s="1147" t="s">
        <v>2789</v>
      </c>
      <c r="B278" s="1147" t="s">
        <v>2790</v>
      </c>
      <c r="C278" s="1149">
        <v>88137.69</v>
      </c>
      <c r="D278" s="1149">
        <v>15896.05</v>
      </c>
      <c r="E278" s="1149">
        <v>104033.74</v>
      </c>
      <c r="F278" s="1147" t="s">
        <v>424</v>
      </c>
      <c r="G278" s="1147" t="s">
        <v>2087</v>
      </c>
      <c r="H278" s="948"/>
      <c r="I278" s="947"/>
      <c r="J278" s="947"/>
      <c r="K278" s="947"/>
      <c r="L278" s="153" t="str">
        <f t="shared" si="20"/>
        <v>5495</v>
      </c>
      <c r="M278" s="154" t="str">
        <f t="shared" si="21"/>
        <v>C/V - SOUS-TRAITANCE INTERNE</v>
      </c>
      <c r="N278" s="155">
        <f>+IF(OR($Q278=Parametres!$G$2,$Q278=Parametres!$G$3),I278,C278)</f>
        <v>88137.69</v>
      </c>
      <c r="O278" s="1122">
        <f>+IF(OR($Q278=Parametres!$G$2,$Q278=Parametres!$G$3),J278,D278)</f>
        <v>15896.05</v>
      </c>
      <c r="P278" s="155">
        <f>+IF(OR($Q278=Parametres!$G$2,$Q278=Parametres!$G$3),K278,E278)</f>
        <v>104033.74</v>
      </c>
      <c r="Q278" s="154" t="str">
        <f t="shared" si="22"/>
        <v>6-Coût des ventes</v>
      </c>
      <c r="R278" s="153" t="str">
        <f t="shared" si="23"/>
        <v>4495</v>
      </c>
      <c r="S278" s="154">
        <f t="shared" si="24"/>
        <v>0</v>
      </c>
      <c r="T278" s="156" t="str">
        <f>+VLOOKUP($L278,Data_Validation!$A:$D,1,0)</f>
        <v>5495</v>
      </c>
      <c r="U278" s="156" t="str">
        <f>+VLOOKUP($L278,Data_Validation!$A:$D,3,0)</f>
        <v>Service</v>
      </c>
      <c r="V278" s="156" t="str">
        <f>+VLOOKUP($L278,Data_Validation!$A:$D,4,0)</f>
        <v>Sous-traitement</v>
      </c>
      <c r="W278" s="156" t="str">
        <f>+VLOOKUP($L278,Data_Validation!$A:$E,5,0)</f>
        <v>$</v>
      </c>
      <c r="X278" s="156">
        <f>+VLOOKUP($L278,Data_Validation!$A:$F,6,0)</f>
        <v>0</v>
      </c>
    </row>
    <row r="279" spans="1:24" ht="15.75" hidden="1" customHeight="1">
      <c r="A279" s="1147" t="s">
        <v>2798</v>
      </c>
      <c r="B279" s="1147" t="s">
        <v>2799</v>
      </c>
      <c r="C279" s="1149">
        <v>82297.289999999994</v>
      </c>
      <c r="D279" s="1149">
        <v>9027.32</v>
      </c>
      <c r="E279" s="1149">
        <v>91324.61</v>
      </c>
      <c r="F279" s="1147" t="s">
        <v>424</v>
      </c>
      <c r="G279" s="1147" t="s">
        <v>2070</v>
      </c>
      <c r="H279" s="1118"/>
      <c r="I279" s="1119"/>
      <c r="J279" s="1119"/>
      <c r="K279" s="1119"/>
      <c r="L279" s="153" t="str">
        <f t="shared" si="20"/>
        <v>5591</v>
      </c>
      <c r="M279" s="154" t="str">
        <f t="shared" si="21"/>
        <v>C/V - S-TRAIT. CARR.</v>
      </c>
      <c r="N279" s="155">
        <f>+IF(OR($Q279=Parametres!$G$2,$Q279=Parametres!$G$3),I279,C279)</f>
        <v>82297.289999999994</v>
      </c>
      <c r="O279" s="1122">
        <f>+IF(OR($Q279=Parametres!$G$2,$Q279=Parametres!$G$3),J279,D279)</f>
        <v>9027.32</v>
      </c>
      <c r="P279" s="155">
        <f>+IF(OR($Q279=Parametres!$G$2,$Q279=Parametres!$G$3),K279,E279)</f>
        <v>91324.61</v>
      </c>
      <c r="Q279" s="154" t="str">
        <f t="shared" si="22"/>
        <v>6-Coût des ventes</v>
      </c>
      <c r="R279" s="153" t="str">
        <f t="shared" si="23"/>
        <v>4591</v>
      </c>
      <c r="S279" s="154">
        <f t="shared" si="24"/>
        <v>0</v>
      </c>
      <c r="T279" s="156" t="str">
        <f>+VLOOKUP($L279,Data_Validation!$A:$D,1,0)</f>
        <v>5591</v>
      </c>
      <c r="U279" s="156" t="str">
        <f>+VLOOKUP($L279,Data_Validation!$A:$D,3,0)</f>
        <v>Carrosserie</v>
      </c>
      <c r="V279" s="156" t="str">
        <f>+VLOOKUP($L279,Data_Validation!$A:$D,4,0)</f>
        <v>M/O Sous-traitement</v>
      </c>
      <c r="W279" s="156" t="str">
        <f>+VLOOKUP($L279,Data_Validation!$A:$E,5,0)</f>
        <v>$</v>
      </c>
      <c r="X279" s="156">
        <f>+VLOOKUP($L279,Data_Validation!$A:$F,6,0)</f>
        <v>0</v>
      </c>
    </row>
    <row r="280" spans="1:24" ht="15" hidden="1" customHeight="1">
      <c r="A280" s="1147" t="s">
        <v>2808</v>
      </c>
      <c r="B280" s="1147" t="s">
        <v>2809</v>
      </c>
      <c r="C280" s="1149">
        <v>300796.84000000003</v>
      </c>
      <c r="D280" s="1149">
        <v>19380.669999999998</v>
      </c>
      <c r="E280" s="1149">
        <v>320177.51</v>
      </c>
      <c r="F280" s="1147" t="s">
        <v>424</v>
      </c>
      <c r="G280" s="1147" t="s">
        <v>2068</v>
      </c>
      <c r="H280" s="150"/>
      <c r="I280" s="157"/>
      <c r="J280" s="157"/>
      <c r="K280" s="157"/>
      <c r="L280" s="153" t="str">
        <f t="shared" si="20"/>
        <v>5593</v>
      </c>
      <c r="M280" s="154" t="str">
        <f t="shared" si="21"/>
        <v>C/V - S-TRAIT.GARANTIE CARROS.</v>
      </c>
      <c r="N280" s="155">
        <f>+IF(OR($Q280=Parametres!$G$2,$Q280=Parametres!$G$3),I280,C280)</f>
        <v>300796.84000000003</v>
      </c>
      <c r="O280" s="1122">
        <f>+IF(OR($Q280=Parametres!$G$2,$Q280=Parametres!$G$3),J280,D280)</f>
        <v>19380.669999999998</v>
      </c>
      <c r="P280" s="155">
        <f>+IF(OR($Q280=Parametres!$G$2,$Q280=Parametres!$G$3),K280,E280)</f>
        <v>320177.51</v>
      </c>
      <c r="Q280" s="154" t="str">
        <f t="shared" si="22"/>
        <v>6-Coût des ventes</v>
      </c>
      <c r="R280" s="153" t="str">
        <f t="shared" si="23"/>
        <v>4593</v>
      </c>
      <c r="S280" s="154">
        <f t="shared" si="24"/>
        <v>0</v>
      </c>
      <c r="T280" s="156" t="str">
        <f>+VLOOKUP($L280,Data_Validation!$A:$D,1,0)</f>
        <v>5593</v>
      </c>
      <c r="U280" s="156" t="str">
        <f>+VLOOKUP($L280,Data_Validation!$A:$D,3,0)</f>
        <v>Carrosserie</v>
      </c>
      <c r="V280" s="156" t="str">
        <f>+VLOOKUP($L280,Data_Validation!$A:$D,4,0)</f>
        <v>M/O Sous-traitement</v>
      </c>
      <c r="W280" s="156" t="str">
        <f>+VLOOKUP($L280,Data_Validation!$A:$E,5,0)</f>
        <v>$</v>
      </c>
      <c r="X280" s="156">
        <f>+VLOOKUP($L280,Data_Validation!$A:$F,6,0)</f>
        <v>0</v>
      </c>
    </row>
    <row r="281" spans="1:24" ht="15" hidden="1" customHeight="1">
      <c r="A281" s="1147" t="s">
        <v>2767</v>
      </c>
      <c r="B281" s="1147" t="s">
        <v>2768</v>
      </c>
      <c r="C281" s="1149">
        <v>23518.87</v>
      </c>
      <c r="D281" s="1149">
        <v>12855.96</v>
      </c>
      <c r="E281" s="1149">
        <v>36374.83</v>
      </c>
      <c r="F281" s="1147" t="s">
        <v>424</v>
      </c>
      <c r="G281" s="1147" t="s">
        <v>2101</v>
      </c>
      <c r="H281" s="1118"/>
      <c r="I281" s="1126"/>
      <c r="J281" s="1118"/>
      <c r="K281" s="1126"/>
      <c r="L281" s="153" t="str">
        <f t="shared" si="20"/>
        <v>5595</v>
      </c>
      <c r="M281" s="154" t="str">
        <f t="shared" si="21"/>
        <v>C/V - S-TRAIT.INTERNE CARROS.</v>
      </c>
      <c r="N281" s="155">
        <f>+IF(OR($Q281=Parametres!$G$2,$Q281=Parametres!$G$3),I281,C281)</f>
        <v>23518.87</v>
      </c>
      <c r="O281" s="1122">
        <f>+IF(OR($Q281=Parametres!$G$2,$Q281=Parametres!$G$3),J281,D281)</f>
        <v>12855.96</v>
      </c>
      <c r="P281" s="155">
        <f>+IF(OR($Q281=Parametres!$G$2,$Q281=Parametres!$G$3),K281,E281)</f>
        <v>36374.83</v>
      </c>
      <c r="Q281" s="154" t="str">
        <f t="shared" si="22"/>
        <v>6-Coût des ventes</v>
      </c>
      <c r="R281" s="153" t="str">
        <f t="shared" si="23"/>
        <v>4595</v>
      </c>
      <c r="S281" s="154">
        <f t="shared" si="24"/>
        <v>0</v>
      </c>
      <c r="T281" s="156" t="str">
        <f>+VLOOKUP($L281,Data_Validation!$A:$D,1,0)</f>
        <v>5595</v>
      </c>
      <c r="U281" s="156" t="str">
        <f>+VLOOKUP($L281,Data_Validation!$A:$D,3,0)</f>
        <v>Carrosserie</v>
      </c>
      <c r="V281" s="156" t="str">
        <f>+VLOOKUP($L281,Data_Validation!$A:$D,4,0)</f>
        <v>M/O Sous-traitement</v>
      </c>
      <c r="W281" s="156" t="str">
        <f>+VLOOKUP($L281,Data_Validation!$A:$E,5,0)</f>
        <v>$</v>
      </c>
      <c r="X281" s="156">
        <f>+VLOOKUP($L281,Data_Validation!$A:$F,6,0)</f>
        <v>0</v>
      </c>
    </row>
    <row r="282" spans="1:24" ht="15" hidden="1" customHeight="1">
      <c r="A282" s="1147" t="s">
        <v>2832</v>
      </c>
      <c r="B282" s="1147" t="s">
        <v>2833</v>
      </c>
      <c r="C282" s="1149">
        <v>208282.41</v>
      </c>
      <c r="D282" s="1149">
        <v>46377.34</v>
      </c>
      <c r="E282" s="1149">
        <v>254659.75</v>
      </c>
      <c r="F282" s="1147" t="s">
        <v>424</v>
      </c>
      <c r="G282" s="1147" t="s">
        <v>2024</v>
      </c>
      <c r="H282" s="1118"/>
      <c r="I282" s="1119"/>
      <c r="J282" s="1119"/>
      <c r="K282" s="1119"/>
      <c r="L282" s="153" t="str">
        <f t="shared" si="20"/>
        <v>5701</v>
      </c>
      <c r="M282" s="154" t="str">
        <f t="shared" si="21"/>
        <v>C/V - PIECE/ACC B.R. CLIENT VW</v>
      </c>
      <c r="N282" s="155">
        <f>+IF(OR($Q282=Parametres!$G$2,$Q282=Parametres!$G$3),I282,C282)</f>
        <v>208282.41</v>
      </c>
      <c r="O282" s="1122">
        <f>+IF(OR($Q282=Parametres!$G$2,$Q282=Parametres!$G$3),J282,D282)</f>
        <v>46377.34</v>
      </c>
      <c r="P282" s="155">
        <f>+IF(OR($Q282=Parametres!$G$2,$Q282=Parametres!$G$3),K282,E282)</f>
        <v>254659.75</v>
      </c>
      <c r="Q282" s="154" t="str">
        <f t="shared" si="22"/>
        <v>6-Coût des ventes</v>
      </c>
      <c r="R282" s="153" t="str">
        <f t="shared" si="23"/>
        <v>4701</v>
      </c>
      <c r="S282" s="154">
        <f t="shared" si="24"/>
        <v>0</v>
      </c>
      <c r="T282" s="156" t="str">
        <f>+VLOOKUP($L282,Data_Validation!$A:$D,1,0)</f>
        <v>5701</v>
      </c>
      <c r="U282" s="156" t="str">
        <f>+VLOOKUP($L282,Data_Validation!$A:$D,3,0)</f>
        <v>Pièces</v>
      </c>
      <c r="V282" s="156" t="str">
        <f>+VLOOKUP($L282,Data_Validation!$A:$D,4,0)</f>
        <v>Pièces Ro Clients</v>
      </c>
      <c r="W282" s="156" t="str">
        <f>+VLOOKUP($L282,Data_Validation!$A:$E,5,0)</f>
        <v>$</v>
      </c>
      <c r="X282" s="156">
        <f>+VLOOKUP($L282,Data_Validation!$A:$F,6,0)</f>
        <v>0</v>
      </c>
    </row>
    <row r="283" spans="1:24" ht="15.75" hidden="1" customHeight="1">
      <c r="A283" s="1147" t="s">
        <v>2658</v>
      </c>
      <c r="B283" s="1147" t="s">
        <v>2705</v>
      </c>
      <c r="C283" s="1149">
        <v>2228.42</v>
      </c>
      <c r="D283" s="1149">
        <v>421.84</v>
      </c>
      <c r="E283" s="1149">
        <v>2650.26</v>
      </c>
      <c r="F283" s="1147" t="s">
        <v>424</v>
      </c>
      <c r="G283" s="1147" t="s">
        <v>2151</v>
      </c>
      <c r="H283" s="150"/>
      <c r="I283" s="157"/>
      <c r="J283" s="157"/>
      <c r="K283" s="157"/>
      <c r="L283" s="153" t="str">
        <f t="shared" si="20"/>
        <v>5702</v>
      </c>
      <c r="M283" s="154" t="str">
        <f t="shared" si="21"/>
        <v>C/V - SHOP SUPPLY VW</v>
      </c>
      <c r="N283" s="155">
        <f>+IF(OR($Q283=Parametres!$G$2,$Q283=Parametres!$G$3),I283,C283)</f>
        <v>2228.42</v>
      </c>
      <c r="O283" s="1122">
        <f>+IF(OR($Q283=Parametres!$G$2,$Q283=Parametres!$G$3),J283,D283)</f>
        <v>421.84</v>
      </c>
      <c r="P283" s="155">
        <f>+IF(OR($Q283=Parametres!$G$2,$Q283=Parametres!$G$3),K283,E283)</f>
        <v>2650.26</v>
      </c>
      <c r="Q283" s="154" t="str">
        <f t="shared" si="22"/>
        <v>6-Coût des ventes</v>
      </c>
      <c r="R283" s="153" t="str">
        <f t="shared" si="23"/>
        <v>4702</v>
      </c>
      <c r="S283" s="154">
        <f t="shared" si="24"/>
        <v>0</v>
      </c>
      <c r="T283" s="156" t="str">
        <f>+VLOOKUP($L283,Data_Validation!$A:$D,1,0)</f>
        <v>5702</v>
      </c>
      <c r="U283" s="156" t="str">
        <f>+VLOOKUP($L283,Data_Validation!$A:$D,3,0)</f>
        <v>Service</v>
      </c>
      <c r="V283" s="156" t="str">
        <f>+VLOOKUP($L283,Data_Validation!$A:$D,4,0)</f>
        <v>M/O Client</v>
      </c>
      <c r="W283" s="156" t="str">
        <f>+VLOOKUP($L283,Data_Validation!$A:$E,5,0)</f>
        <v>$</v>
      </c>
      <c r="X283" s="156">
        <f>+VLOOKUP($L283,Data_Validation!$A:$F,6,0)</f>
        <v>0</v>
      </c>
    </row>
    <row r="284" spans="1:24" ht="15" hidden="1" customHeight="1">
      <c r="A284" s="1147" t="s">
        <v>2814</v>
      </c>
      <c r="B284" s="1147" t="s">
        <v>2815</v>
      </c>
      <c r="C284" s="1149">
        <v>358032.25</v>
      </c>
      <c r="D284" s="1149">
        <v>49372.05</v>
      </c>
      <c r="E284" s="1149">
        <v>407404.3</v>
      </c>
      <c r="F284" s="1147" t="s">
        <v>424</v>
      </c>
      <c r="G284" s="1147" t="s">
        <v>2044</v>
      </c>
      <c r="H284" s="1118"/>
      <c r="I284" s="1118"/>
      <c r="J284" s="1118"/>
      <c r="K284" s="1126"/>
      <c r="L284" s="153" t="str">
        <f t="shared" si="20"/>
        <v>5703</v>
      </c>
      <c r="M284" s="154" t="str">
        <f t="shared" si="21"/>
        <v>C/V - PIECE/ACC B.R. GARANTIE VW</v>
      </c>
      <c r="N284" s="155">
        <f>+IF(OR($Q284=Parametres!$G$2,$Q284=Parametres!$G$3),I284,C284)</f>
        <v>358032.25</v>
      </c>
      <c r="O284" s="1120">
        <f>+IF(OR($Q284=Parametres!$G$2,$Q284=Parametres!$G$3),J284,D284)</f>
        <v>49372.05</v>
      </c>
      <c r="P284" s="155">
        <f>+IF(OR($Q284=Parametres!$G$2,$Q284=Parametres!$G$3),K284,E284)</f>
        <v>407404.3</v>
      </c>
      <c r="Q284" s="154" t="str">
        <f t="shared" si="22"/>
        <v>6-Coût des ventes</v>
      </c>
      <c r="R284" s="153" t="str">
        <f t="shared" si="23"/>
        <v>4703</v>
      </c>
      <c r="S284" s="154">
        <f t="shared" si="24"/>
        <v>0</v>
      </c>
      <c r="T284" s="156" t="str">
        <f>+VLOOKUP($L284,Data_Validation!$A:$D,1,0)</f>
        <v>5703</v>
      </c>
      <c r="U284" s="156" t="str">
        <f>+VLOOKUP($L284,Data_Validation!$A:$D,3,0)</f>
        <v>Pièces</v>
      </c>
      <c r="V284" s="156" t="str">
        <f>+VLOOKUP($L284,Data_Validation!$A:$D,4,0)</f>
        <v>P/A Garantie</v>
      </c>
      <c r="W284" s="156" t="str">
        <f>+VLOOKUP($L284,Data_Validation!$A:$E,5,0)</f>
        <v>$</v>
      </c>
      <c r="X284" s="156">
        <f>+VLOOKUP($L284,Data_Validation!$A:$F,6,0)</f>
        <v>0</v>
      </c>
    </row>
    <row r="285" spans="1:24" ht="15" hidden="1" customHeight="1">
      <c r="A285" s="1147" t="s">
        <v>2811</v>
      </c>
      <c r="B285" s="1147" t="s">
        <v>2812</v>
      </c>
      <c r="C285" s="1149">
        <v>198263.82</v>
      </c>
      <c r="D285" s="1149">
        <v>33263.32</v>
      </c>
      <c r="E285" s="1149">
        <v>231527.14</v>
      </c>
      <c r="F285" s="1147" t="s">
        <v>424</v>
      </c>
      <c r="G285" s="1147" t="s">
        <v>2048</v>
      </c>
      <c r="H285" s="1118"/>
      <c r="I285" s="1119"/>
      <c r="J285" s="1119"/>
      <c r="K285" s="1119"/>
      <c r="L285" s="153" t="str">
        <f t="shared" si="20"/>
        <v>5705</v>
      </c>
      <c r="M285" s="154" t="str">
        <f t="shared" si="21"/>
        <v>C/V - PIECE/ACC B.R. INTERNE VW</v>
      </c>
      <c r="N285" s="155">
        <f>+IF(OR($Q285=Parametres!$G$2,$Q285=Parametres!$G$3),I285,C285)</f>
        <v>198263.82</v>
      </c>
      <c r="O285" s="1122">
        <f>+IF(OR($Q285=Parametres!$G$2,$Q285=Parametres!$G$3),J285,D285)</f>
        <v>33263.32</v>
      </c>
      <c r="P285" s="155">
        <f>+IF(OR($Q285=Parametres!$G$2,$Q285=Parametres!$G$3),K285,E285)</f>
        <v>231527.14</v>
      </c>
      <c r="Q285" s="154" t="str">
        <f t="shared" si="22"/>
        <v>6-Coût des ventes</v>
      </c>
      <c r="R285" s="153" t="str">
        <f t="shared" si="23"/>
        <v>4705</v>
      </c>
      <c r="S285" s="154">
        <f t="shared" si="24"/>
        <v>0</v>
      </c>
      <c r="T285" s="156" t="str">
        <f>+VLOOKUP($L285,Data_Validation!$A:$D,1,0)</f>
        <v>5705</v>
      </c>
      <c r="U285" s="156" t="str">
        <f>+VLOOKUP($L285,Data_Validation!$A:$D,3,0)</f>
        <v>Pièces</v>
      </c>
      <c r="V285" s="156" t="str">
        <f>+VLOOKUP($L285,Data_Validation!$A:$D,4,0)</f>
        <v>Ventes Internes</v>
      </c>
      <c r="W285" s="156" t="str">
        <f>+VLOOKUP($L285,Data_Validation!$A:$E,5,0)</f>
        <v>$</v>
      </c>
      <c r="X285" s="156">
        <f>+VLOOKUP($L285,Data_Validation!$A:$F,6,0)</f>
        <v>0</v>
      </c>
    </row>
    <row r="286" spans="1:24" ht="15" hidden="1" customHeight="1">
      <c r="A286" s="1147" t="s">
        <v>2658</v>
      </c>
      <c r="B286" s="1147" t="s">
        <v>2659</v>
      </c>
      <c r="C286" s="1149">
        <v>2972.33</v>
      </c>
      <c r="D286" s="1149">
        <v>252.97</v>
      </c>
      <c r="E286" s="1149">
        <v>3225.3</v>
      </c>
      <c r="F286" s="1147" t="s">
        <v>424</v>
      </c>
      <c r="G286" s="1147" t="s">
        <v>2169</v>
      </c>
      <c r="H286" s="1118"/>
      <c r="I286" s="1119"/>
      <c r="J286" s="1119"/>
      <c r="K286" s="1119"/>
      <c r="L286" s="153" t="str">
        <f t="shared" si="20"/>
        <v>5706</v>
      </c>
      <c r="M286" s="154" t="str">
        <f t="shared" si="21"/>
        <v>C/V - SHOP SUPPLY VW</v>
      </c>
      <c r="N286" s="155">
        <f>+IF(OR($Q286=Parametres!$G$2,$Q286=Parametres!$G$3),I286,C286)</f>
        <v>2972.33</v>
      </c>
      <c r="O286" s="1120">
        <f>+IF(OR($Q286=Parametres!$G$2,$Q286=Parametres!$G$3),J286,D286)</f>
        <v>252.97</v>
      </c>
      <c r="P286" s="155">
        <f>+IF(OR($Q286=Parametres!$G$2,$Q286=Parametres!$G$3),K286,E286)</f>
        <v>3225.3</v>
      </c>
      <c r="Q286" s="154" t="str">
        <f t="shared" si="22"/>
        <v>6-Coût des ventes</v>
      </c>
      <c r="R286" s="153" t="str">
        <f t="shared" si="23"/>
        <v>4706</v>
      </c>
      <c r="S286" s="154">
        <f t="shared" si="24"/>
        <v>0</v>
      </c>
      <c r="T286" s="156" t="str">
        <f>+VLOOKUP($L286,Data_Validation!$A:$D,1,0)</f>
        <v>5706</v>
      </c>
      <c r="U286" s="156" t="str">
        <f>+VLOOKUP($L286,Data_Validation!$A:$D,3,0)</f>
        <v>Service</v>
      </c>
      <c r="V286" s="156" t="str">
        <f>+VLOOKUP($L286,Data_Validation!$A:$D,4,0)</f>
        <v>M/O Interne</v>
      </c>
      <c r="W286" s="156" t="str">
        <f>+VLOOKUP($L286,Data_Validation!$A:$E,5,0)</f>
        <v>$</v>
      </c>
      <c r="X286" s="156">
        <f>+VLOOKUP($L286,Data_Validation!$A:$F,6,0)</f>
        <v>0</v>
      </c>
    </row>
    <row r="287" spans="1:24" ht="15.75" hidden="1" customHeight="1">
      <c r="A287" s="1147" t="s">
        <v>2460</v>
      </c>
      <c r="B287" s="1147" t="s">
        <v>2728</v>
      </c>
      <c r="C287" s="1149">
        <v>17951.259999999998</v>
      </c>
      <c r="D287" s="1149">
        <v>2914.37</v>
      </c>
      <c r="E287" s="1149">
        <v>20865.63</v>
      </c>
      <c r="F287" s="1147" t="s">
        <v>424</v>
      </c>
      <c r="G287" s="1147" t="s">
        <v>2115</v>
      </c>
      <c r="H287" s="150"/>
      <c r="I287" s="151"/>
      <c r="J287" s="151"/>
      <c r="K287" s="151"/>
      <c r="L287" s="153" t="str">
        <f t="shared" si="20"/>
        <v>5711</v>
      </c>
      <c r="M287" s="154" t="str">
        <f t="shared" si="21"/>
        <v>C/V - AUTRE PIECE/ACC/CARR B.R. CLIENT</v>
      </c>
      <c r="N287" s="155">
        <f>+IF(OR($Q287=Parametres!$G$2,$Q287=Parametres!$G$3),I287,C287)</f>
        <v>17951.259999999998</v>
      </c>
      <c r="O287" s="1122">
        <f>+IF(OR($Q287=Parametres!$G$2,$Q287=Parametres!$G$3),J287,D287)</f>
        <v>2914.37</v>
      </c>
      <c r="P287" s="155">
        <f>+IF(OR($Q287=Parametres!$G$2,$Q287=Parametres!$G$3),K287,E287)</f>
        <v>20865.63</v>
      </c>
      <c r="Q287" s="154" t="str">
        <f t="shared" si="22"/>
        <v>6-Coût des ventes</v>
      </c>
      <c r="R287" s="153" t="str">
        <f t="shared" si="23"/>
        <v>4711</v>
      </c>
      <c r="S287" s="154">
        <f t="shared" si="24"/>
        <v>0</v>
      </c>
      <c r="T287" s="156" t="str">
        <f>+VLOOKUP($L287,Data_Validation!$A:$D,1,0)</f>
        <v>5711</v>
      </c>
      <c r="U287" s="156" t="str">
        <f>+VLOOKUP($L287,Data_Validation!$A:$D,3,0)</f>
        <v>Pièces</v>
      </c>
      <c r="V287" s="156" t="str">
        <f>+VLOOKUP($L287,Data_Validation!$A:$D,4,0)</f>
        <v>Pièces Ro Clients</v>
      </c>
      <c r="W287" s="156" t="str">
        <f>+VLOOKUP($L287,Data_Validation!$A:$E,5,0)</f>
        <v>$</v>
      </c>
      <c r="X287" s="156">
        <f>+VLOOKUP($L287,Data_Validation!$A:$F,6,0)</f>
        <v>0</v>
      </c>
    </row>
    <row r="288" spans="1:24" ht="15" hidden="1" customHeight="1">
      <c r="A288" s="1147" t="s">
        <v>2754</v>
      </c>
      <c r="B288" s="1147" t="s">
        <v>2755</v>
      </c>
      <c r="C288" s="1149">
        <v>33362.730000000003</v>
      </c>
      <c r="D288" s="1149">
        <v>3890.4</v>
      </c>
      <c r="E288" s="1149">
        <v>37253.129999999997</v>
      </c>
      <c r="F288" s="1147" t="s">
        <v>424</v>
      </c>
      <c r="G288" s="1147" t="s">
        <v>2108</v>
      </c>
      <c r="H288" s="150"/>
      <c r="I288" s="157"/>
      <c r="J288" s="157"/>
      <c r="K288" s="157"/>
      <c r="L288" s="153" t="str">
        <f t="shared" si="20"/>
        <v>5731</v>
      </c>
      <c r="M288" s="154" t="str">
        <f t="shared" si="21"/>
        <v>C/V - PIECES-BON REPAR.-PEINT/DEBOS</v>
      </c>
      <c r="N288" s="155">
        <f>+IF(OR($Q288=Parametres!$G$2,$Q288=Parametres!$G$3),I288,C288)</f>
        <v>33362.730000000003</v>
      </c>
      <c r="O288" s="1122">
        <f>+IF(OR($Q288=Parametres!$G$2,$Q288=Parametres!$G$3),J288,D288)</f>
        <v>3890.4</v>
      </c>
      <c r="P288" s="155">
        <f>+IF(OR($Q288=Parametres!$G$2,$Q288=Parametres!$G$3),K288,E288)</f>
        <v>37253.129999999997</v>
      </c>
      <c r="Q288" s="154" t="str">
        <f t="shared" si="22"/>
        <v>6-Coût des ventes</v>
      </c>
      <c r="R288" s="153" t="str">
        <f t="shared" si="23"/>
        <v>4731</v>
      </c>
      <c r="S288" s="154">
        <f t="shared" si="24"/>
        <v>0</v>
      </c>
      <c r="T288" s="156" t="str">
        <f>+VLOOKUP($L288,Data_Validation!$A:$D,1,0)</f>
        <v>5731</v>
      </c>
      <c r="U288" s="156" t="str">
        <f>+VLOOKUP($L288,Data_Validation!$A:$D,3,0)</f>
        <v>Pièces</v>
      </c>
      <c r="V288" s="156" t="str">
        <f>+VLOOKUP($L288,Data_Validation!$A:$D,4,0)</f>
        <v>Pièces Ro Carrosserie</v>
      </c>
      <c r="W288" s="156" t="str">
        <f>+VLOOKUP($L288,Data_Validation!$A:$E,5,0)</f>
        <v>$</v>
      </c>
      <c r="X288" s="156">
        <f>+VLOOKUP($L288,Data_Validation!$A:$F,6,0)</f>
        <v>0</v>
      </c>
    </row>
    <row r="289" spans="1:24" ht="15" hidden="1" customHeight="1">
      <c r="A289" s="1147" t="s">
        <v>2787</v>
      </c>
      <c r="B289" s="1147" t="s">
        <v>2788</v>
      </c>
      <c r="C289" s="1149">
        <v>169116.41</v>
      </c>
      <c r="D289" s="1149">
        <v>8294.25</v>
      </c>
      <c r="E289" s="1149">
        <v>177410.66</v>
      </c>
      <c r="F289" s="1147" t="s">
        <v>424</v>
      </c>
      <c r="G289" s="1147" t="s">
        <v>2091</v>
      </c>
      <c r="H289" s="1118"/>
      <c r="I289" s="1126"/>
      <c r="J289" s="1118"/>
      <c r="K289" s="1126"/>
      <c r="L289" s="153" t="str">
        <f t="shared" si="20"/>
        <v>5733</v>
      </c>
      <c r="M289" s="154" t="str">
        <f t="shared" si="21"/>
        <v>C/V - P&amp;A B.T. GAR.CARR.VW</v>
      </c>
      <c r="N289" s="155">
        <f>+IF(OR($Q289=Parametres!$G$2,$Q289=Parametres!$G$3),I289,C289)</f>
        <v>169116.41</v>
      </c>
      <c r="O289" s="1122">
        <f>+IF(OR($Q289=Parametres!$G$2,$Q289=Parametres!$G$3),J289,D289)</f>
        <v>8294.25</v>
      </c>
      <c r="P289" s="155">
        <f>+IF(OR($Q289=Parametres!$G$2,$Q289=Parametres!$G$3),K289,E289)</f>
        <v>177410.66</v>
      </c>
      <c r="Q289" s="154" t="str">
        <f t="shared" si="22"/>
        <v>6-Coût des ventes</v>
      </c>
      <c r="R289" s="153" t="str">
        <f t="shared" si="23"/>
        <v>4733</v>
      </c>
      <c r="S289" s="154">
        <f t="shared" si="24"/>
        <v>0</v>
      </c>
      <c r="T289" s="156" t="str">
        <f>+VLOOKUP($L289,Data_Validation!$A:$D,1,0)</f>
        <v>5733</v>
      </c>
      <c r="U289" s="156" t="str">
        <f>+VLOOKUP($L289,Data_Validation!$A:$D,3,0)</f>
        <v>Pièces</v>
      </c>
      <c r="V289" s="156" t="str">
        <f>+VLOOKUP($L289,Data_Validation!$A:$D,4,0)</f>
        <v>Pièces Ro Carrosserie</v>
      </c>
      <c r="W289" s="156" t="str">
        <f>+VLOOKUP($L289,Data_Validation!$A:$E,5,0)</f>
        <v>$</v>
      </c>
      <c r="X289" s="156">
        <f>+VLOOKUP($L289,Data_Validation!$A:$F,6,0)</f>
        <v>0</v>
      </c>
    </row>
    <row r="290" spans="1:24" ht="15" hidden="1" customHeight="1">
      <c r="A290" s="1147" t="s">
        <v>2668</v>
      </c>
      <c r="B290" s="1147" t="s">
        <v>2669</v>
      </c>
      <c r="C290" s="1149">
        <v>3771.87</v>
      </c>
      <c r="D290" s="1149">
        <v>1929.76</v>
      </c>
      <c r="E290" s="1149">
        <v>5701.63</v>
      </c>
      <c r="F290" s="1147" t="s">
        <v>424</v>
      </c>
      <c r="G290" s="1147" t="s">
        <v>2166</v>
      </c>
      <c r="H290" s="1118"/>
      <c r="I290" s="1119"/>
      <c r="J290" s="1119"/>
      <c r="K290" s="1119"/>
      <c r="L290" s="153" t="str">
        <f t="shared" si="20"/>
        <v>5735</v>
      </c>
      <c r="M290" s="154" t="str">
        <f t="shared" si="21"/>
        <v>C/V - P&amp;A B.T.INTERNE CARR.VW</v>
      </c>
      <c r="N290" s="155">
        <f>+IF(OR($Q290=Parametres!$G$2,$Q290=Parametres!$G$3),I290,C290)</f>
        <v>3771.87</v>
      </c>
      <c r="O290" s="1122">
        <f>+IF(OR($Q290=Parametres!$G$2,$Q290=Parametres!$G$3),J290,D290)</f>
        <v>1929.76</v>
      </c>
      <c r="P290" s="155">
        <f>+IF(OR($Q290=Parametres!$G$2,$Q290=Parametres!$G$3),K290,E290)</f>
        <v>5701.63</v>
      </c>
      <c r="Q290" s="154" t="str">
        <f t="shared" si="22"/>
        <v>6-Coût des ventes</v>
      </c>
      <c r="R290" s="153" t="str">
        <f t="shared" si="23"/>
        <v>4735</v>
      </c>
      <c r="S290" s="154">
        <f t="shared" si="24"/>
        <v>0</v>
      </c>
      <c r="T290" s="156" t="str">
        <f>+VLOOKUP($L290,Data_Validation!$A:$D,1,0)</f>
        <v>5735</v>
      </c>
      <c r="U290" s="156" t="str">
        <f>+VLOOKUP($L290,Data_Validation!$A:$D,3,0)</f>
        <v>Pièces</v>
      </c>
      <c r="V290" s="156" t="str">
        <f>+VLOOKUP($L290,Data_Validation!$A:$D,4,0)</f>
        <v>Pièces Ro Carrosserie</v>
      </c>
      <c r="W290" s="156" t="str">
        <f>+VLOOKUP($L290,Data_Validation!$A:$E,5,0)</f>
        <v>$</v>
      </c>
      <c r="X290" s="156">
        <f>+VLOOKUP($L290,Data_Validation!$A:$F,6,0)</f>
        <v>0</v>
      </c>
    </row>
    <row r="291" spans="1:24" ht="15.75" hidden="1" customHeight="1">
      <c r="A291" s="1147" t="s">
        <v>2794</v>
      </c>
      <c r="B291" s="1147" t="s">
        <v>2795</v>
      </c>
      <c r="C291" s="1149">
        <v>63634.42</v>
      </c>
      <c r="D291" s="1149">
        <v>12211.99</v>
      </c>
      <c r="E291" s="1149">
        <v>75846.41</v>
      </c>
      <c r="F291" s="1147" t="s">
        <v>424</v>
      </c>
      <c r="G291" s="1147" t="s">
        <v>2083</v>
      </c>
      <c r="H291" s="1118"/>
      <c r="I291" s="1118"/>
      <c r="J291" s="1118"/>
      <c r="K291" s="1126"/>
      <c r="L291" s="153" t="str">
        <f t="shared" si="20"/>
        <v>5761</v>
      </c>
      <c r="M291" s="154" t="str">
        <f t="shared" si="21"/>
        <v>C/V - P&amp;A VW COMPTOIR - DETAIL</v>
      </c>
      <c r="N291" s="155">
        <f>+IF(OR($Q291=Parametres!$G$2,$Q291=Parametres!$G$3),I291,C291)</f>
        <v>63634.42</v>
      </c>
      <c r="O291" s="1123">
        <f>+IF(OR($Q291=Parametres!$G$2,$Q291=Parametres!$G$3),J291,D291)</f>
        <v>12211.99</v>
      </c>
      <c r="P291" s="155">
        <f>+IF(OR($Q291=Parametres!$G$2,$Q291=Parametres!$G$3),K291,E291)</f>
        <v>75846.41</v>
      </c>
      <c r="Q291" s="154" t="str">
        <f t="shared" si="22"/>
        <v>6-Coût des ventes</v>
      </c>
      <c r="R291" s="153" t="str">
        <f t="shared" si="23"/>
        <v>4761</v>
      </c>
      <c r="S291" s="154">
        <f t="shared" si="24"/>
        <v>0</v>
      </c>
      <c r="T291" s="156" t="str">
        <f>+VLOOKUP($L291,Data_Validation!$A:$D,1,0)</f>
        <v>5761</v>
      </c>
      <c r="U291" s="156" t="str">
        <f>+VLOOKUP($L291,Data_Validation!$A:$D,3,0)</f>
        <v>Pièces</v>
      </c>
      <c r="V291" s="156" t="str">
        <f>+VLOOKUP($L291,Data_Validation!$A:$D,4,0)</f>
        <v>Ventes Détails</v>
      </c>
      <c r="W291" s="156" t="str">
        <f>+VLOOKUP($L291,Data_Validation!$A:$E,5,0)</f>
        <v>$</v>
      </c>
      <c r="X291" s="156">
        <f>+VLOOKUP($L291,Data_Validation!$A:$F,6,0)</f>
        <v>0</v>
      </c>
    </row>
    <row r="292" spans="1:24" ht="15" hidden="1" customHeight="1">
      <c r="A292" s="1147" t="s">
        <v>2816</v>
      </c>
      <c r="B292" s="1147" t="s">
        <v>2817</v>
      </c>
      <c r="C292" s="1149">
        <v>202103.79</v>
      </c>
      <c r="D292" s="1149">
        <v>44699.96</v>
      </c>
      <c r="E292" s="1149">
        <v>246803.75</v>
      </c>
      <c r="F292" s="1147" t="s">
        <v>424</v>
      </c>
      <c r="G292" s="1147" t="s">
        <v>2046</v>
      </c>
      <c r="H292" s="1118"/>
      <c r="I292" s="1119"/>
      <c r="J292" s="1119"/>
      <c r="K292" s="1119"/>
      <c r="L292" s="153" t="str">
        <f t="shared" si="20"/>
        <v>5763</v>
      </c>
      <c r="M292" s="154" t="str">
        <f t="shared" si="21"/>
        <v>C/V - P&amp;A VW COMPTOIR GROS - ECHANGE</v>
      </c>
      <c r="N292" s="155">
        <f>+IF(OR($Q292=Parametres!$G$2,$Q292=Parametres!$G$3),I292,C292)</f>
        <v>202103.79</v>
      </c>
      <c r="O292" s="1122">
        <f>+IF(OR($Q292=Parametres!$G$2,$Q292=Parametres!$G$3),J292,D292)</f>
        <v>44699.96</v>
      </c>
      <c r="P292" s="155">
        <f>+IF(OR($Q292=Parametres!$G$2,$Q292=Parametres!$G$3),K292,E292)</f>
        <v>246803.75</v>
      </c>
      <c r="Q292" s="154" t="str">
        <f t="shared" si="22"/>
        <v>6-Coût des ventes</v>
      </c>
      <c r="R292" s="153" t="str">
        <f t="shared" si="23"/>
        <v>4763</v>
      </c>
      <c r="S292" s="154">
        <f t="shared" si="24"/>
        <v>0</v>
      </c>
      <c r="T292" s="156" t="str">
        <f>+VLOOKUP($L292,Data_Validation!$A:$D,1,0)</f>
        <v>5763</v>
      </c>
      <c r="U292" s="156" t="str">
        <f>+VLOOKUP($L292,Data_Validation!$A:$D,3,0)</f>
        <v>Pièces</v>
      </c>
      <c r="V292" s="156" t="str">
        <f>+VLOOKUP($L292,Data_Validation!$A:$D,4,0)</f>
        <v>Ventes de Gros</v>
      </c>
      <c r="W292" s="156" t="str">
        <f>+VLOOKUP($L292,Data_Validation!$A:$E,5,0)</f>
        <v>$</v>
      </c>
      <c r="X292" s="156">
        <f>+VLOOKUP($L292,Data_Validation!$A:$F,6,0)</f>
        <v>0</v>
      </c>
    </row>
    <row r="293" spans="1:24" ht="15" hidden="1" customHeight="1">
      <c r="A293" s="1147" t="s">
        <v>2820</v>
      </c>
      <c r="B293" s="1147" t="s">
        <v>2821</v>
      </c>
      <c r="C293" s="1149">
        <v>149373.84</v>
      </c>
      <c r="D293" s="1149">
        <v>22891.64</v>
      </c>
      <c r="E293" s="1149">
        <v>172265.48</v>
      </c>
      <c r="F293" s="1147" t="s">
        <v>424</v>
      </c>
      <c r="G293" s="1147" t="s">
        <v>2035</v>
      </c>
      <c r="H293" s="1118"/>
      <c r="I293" s="1118"/>
      <c r="J293" s="1118"/>
      <c r="K293" s="1118"/>
      <c r="L293" s="153" t="str">
        <f t="shared" si="20"/>
        <v>5781</v>
      </c>
      <c r="M293" s="154" t="str">
        <f t="shared" si="21"/>
        <v>COUT PNEUS</v>
      </c>
      <c r="N293" s="155">
        <f>+IF(OR($Q293=Parametres!$G$2,$Q293=Parametres!$G$3),I293,C293)</f>
        <v>149373.84</v>
      </c>
      <c r="O293" s="1122">
        <f>+IF(OR($Q293=Parametres!$G$2,$Q293=Parametres!$G$3),J293,D293)</f>
        <v>22891.64</v>
      </c>
      <c r="P293" s="155">
        <f>+IF(OR($Q293=Parametres!$G$2,$Q293=Parametres!$G$3),K293,E293)</f>
        <v>172265.48</v>
      </c>
      <c r="Q293" s="154" t="str">
        <f t="shared" si="22"/>
        <v>6-Coût des ventes</v>
      </c>
      <c r="R293" s="153" t="str">
        <f t="shared" si="23"/>
        <v>4781</v>
      </c>
      <c r="S293" s="154">
        <f t="shared" si="24"/>
        <v>0</v>
      </c>
      <c r="T293" s="156" t="str">
        <f>+VLOOKUP($L293,Data_Validation!$A:$D,1,0)</f>
        <v>5781</v>
      </c>
      <c r="U293" s="156" t="str">
        <f>+VLOOKUP($L293,Data_Validation!$A:$D,3,0)</f>
        <v>Pièces</v>
      </c>
      <c r="V293" s="156" t="str">
        <f>+VLOOKUP($L293,Data_Validation!$A:$D,4,0)</f>
        <v>Ventes Pneus</v>
      </c>
      <c r="W293" s="156" t="str">
        <f>+VLOOKUP($L293,Data_Validation!$A:$E,5,0)</f>
        <v>$</v>
      </c>
      <c r="X293" s="156">
        <f>+VLOOKUP($L293,Data_Validation!$A:$F,6,0)</f>
        <v>0</v>
      </c>
    </row>
    <row r="294" spans="1:24" ht="15" hidden="1" customHeight="1">
      <c r="A294" s="1147" t="s">
        <v>2729</v>
      </c>
      <c r="B294" s="1147" t="s">
        <v>2730</v>
      </c>
      <c r="C294" s="1149">
        <v>403.34</v>
      </c>
      <c r="D294" s="1149">
        <v>318.77999999999997</v>
      </c>
      <c r="E294" s="1149">
        <v>722.12</v>
      </c>
      <c r="F294" s="1147" t="s">
        <v>424</v>
      </c>
      <c r="G294" s="1147" t="s">
        <v>2035</v>
      </c>
      <c r="H294" s="1118"/>
      <c r="I294" s="1118"/>
      <c r="J294" s="1118"/>
      <c r="K294" s="1118"/>
      <c r="L294" s="153" t="str">
        <f t="shared" si="20"/>
        <v>5785</v>
      </c>
      <c r="M294" s="154" t="str">
        <f t="shared" si="21"/>
        <v>C/V - VW PNEUS</v>
      </c>
      <c r="N294" s="155">
        <f>+IF(OR($Q294=Parametres!$G$2,$Q294=Parametres!$G$3),I294,C294)</f>
        <v>403.34</v>
      </c>
      <c r="O294" s="1122">
        <f>+IF(OR($Q294=Parametres!$G$2,$Q294=Parametres!$G$3),J294,D294)</f>
        <v>318.77999999999997</v>
      </c>
      <c r="P294" s="155">
        <f>+IF(OR($Q294=Parametres!$G$2,$Q294=Parametres!$G$3),K294,E294)</f>
        <v>722.12</v>
      </c>
      <c r="Q294" s="154" t="str">
        <f t="shared" si="22"/>
        <v>6-Coût des ventes</v>
      </c>
      <c r="R294" s="153" t="str">
        <f t="shared" si="23"/>
        <v>4781</v>
      </c>
      <c r="S294" s="154">
        <f t="shared" si="24"/>
        <v>0</v>
      </c>
      <c r="T294" s="156" t="str">
        <f>+VLOOKUP($L294,Data_Validation!$A:$D,1,0)</f>
        <v>5785</v>
      </c>
      <c r="U294" s="156" t="str">
        <f>+VLOOKUP($L294,Data_Validation!$A:$D,3,0)</f>
        <v>Pièces</v>
      </c>
      <c r="V294" s="156" t="str">
        <f>+VLOOKUP($L294,Data_Validation!$A:$D,4,0)</f>
        <v>Ventes Pneus</v>
      </c>
      <c r="W294" s="156" t="str">
        <f>+VLOOKUP($L294,Data_Validation!$A:$E,5,0)</f>
        <v>$</v>
      </c>
      <c r="X294" s="156">
        <f>+VLOOKUP($L294,Data_Validation!$A:$F,6,0)</f>
        <v>0</v>
      </c>
    </row>
    <row r="295" spans="1:24" ht="15" hidden="1" customHeight="1">
      <c r="A295" s="1147" t="s">
        <v>2135</v>
      </c>
      <c r="B295" s="1147" t="s">
        <v>2136</v>
      </c>
      <c r="C295" s="1149">
        <v>-2266.23</v>
      </c>
      <c r="D295" s="1149">
        <v>375.68</v>
      </c>
      <c r="E295" s="1149">
        <v>-1890.55</v>
      </c>
      <c r="F295" s="1147" t="s">
        <v>424</v>
      </c>
      <c r="G295" s="1147" t="s">
        <v>2137</v>
      </c>
      <c r="H295" s="150"/>
      <c r="I295" s="157"/>
      <c r="J295" s="157"/>
      <c r="K295" s="157"/>
      <c r="L295" s="153" t="str">
        <f t="shared" si="20"/>
        <v>5796</v>
      </c>
      <c r="M295" s="154" t="str">
        <f t="shared" si="21"/>
        <v>C/V - BONI / ESCPTE PI VW</v>
      </c>
      <c r="N295" s="155">
        <f>+IF(OR($Q295=Parametres!$G$2,$Q295=Parametres!$G$3),I295,C295)</f>
        <v>-2266.23</v>
      </c>
      <c r="O295" s="1122">
        <f>+IF(OR($Q295=Parametres!$G$2,$Q295=Parametres!$G$3),J295,D295)</f>
        <v>375.68</v>
      </c>
      <c r="P295" s="155">
        <f>+IF(OR($Q295=Parametres!$G$2,$Q295=Parametres!$G$3),K295,E295)</f>
        <v>-1890.55</v>
      </c>
      <c r="Q295" s="154" t="str">
        <f t="shared" si="22"/>
        <v>6-Coût des ventes</v>
      </c>
      <c r="R295" s="153" t="str">
        <f t="shared" si="23"/>
        <v>5792</v>
      </c>
      <c r="S295" s="154">
        <f t="shared" si="24"/>
        <v>0</v>
      </c>
      <c r="T295" s="156" t="str">
        <f>+VLOOKUP($L295,Data_Validation!$A:$D,1,0)</f>
        <v>5796</v>
      </c>
      <c r="U295" s="156" t="str">
        <f>+VLOOKUP($L295,Data_Validation!$A:$D,3,0)</f>
        <v>Pièces</v>
      </c>
      <c r="V295" s="156" t="str">
        <f>+VLOOKUP($L295,Data_Validation!$A:$D,4,0)</f>
        <v>Escomptes</v>
      </c>
      <c r="W295" s="156" t="str">
        <f>+VLOOKUP($L295,Data_Validation!$A:$E,5,0)</f>
        <v>$</v>
      </c>
      <c r="X295" s="156">
        <f>+VLOOKUP($L295,Data_Validation!$A:$F,6,0)</f>
        <v>0</v>
      </c>
    </row>
    <row r="296" spans="1:24" ht="15" hidden="1" customHeight="1">
      <c r="A296" s="1147" t="s">
        <v>1523</v>
      </c>
      <c r="B296" s="1147" t="s">
        <v>2781</v>
      </c>
      <c r="C296" s="1149">
        <v>225703.32</v>
      </c>
      <c r="D296" s="1149">
        <v>38166.44</v>
      </c>
      <c r="E296" s="1149">
        <v>263869.76</v>
      </c>
      <c r="F296" s="1147" t="s">
        <v>401</v>
      </c>
      <c r="G296" s="1147" t="s">
        <v>2781</v>
      </c>
      <c r="H296" s="948"/>
      <c r="I296" s="947"/>
      <c r="J296" s="947"/>
      <c r="K296" s="947"/>
      <c r="L296" s="153" t="str">
        <f t="shared" si="20"/>
        <v>6101</v>
      </c>
      <c r="M296" s="154" t="str">
        <f t="shared" si="21"/>
        <v>COMMISSION VENDEUR NEUFS</v>
      </c>
      <c r="N296" s="155">
        <f>+IF(OR($Q296=Parametres!$G$2,$Q296=Parametres!$G$3),I296,C296)</f>
        <v>225703.32</v>
      </c>
      <c r="O296" s="1122">
        <f>+IF(OR($Q296=Parametres!$G$2,$Q296=Parametres!$G$3),J296,D296)</f>
        <v>38166.44</v>
      </c>
      <c r="P296" s="155">
        <f>+IF(OR($Q296=Parametres!$G$2,$Q296=Parametres!$G$3),K296,E296)</f>
        <v>263869.76</v>
      </c>
      <c r="Q296" s="154" t="str">
        <f t="shared" si="22"/>
        <v>7-Dépenses</v>
      </c>
      <c r="R296" s="153" t="str">
        <f t="shared" si="23"/>
        <v>6101</v>
      </c>
      <c r="S296" s="154">
        <f t="shared" si="24"/>
        <v>0</v>
      </c>
      <c r="T296" s="156" t="str">
        <f>+VLOOKUP($L296,Data_Validation!$A:$D,1,0)</f>
        <v>6101</v>
      </c>
      <c r="U296" s="156" t="str">
        <f>+VLOOKUP($L296,Data_Validation!$A:$D,3,0)</f>
        <v>Véhicules neufs</v>
      </c>
      <c r="V296" s="156" t="str">
        <f>+VLOOKUP($L296,Data_Validation!$A:$D,4,0)</f>
        <v>Comm. vendeurs</v>
      </c>
      <c r="W296" s="156" t="str">
        <f>+VLOOKUP($L296,Data_Validation!$A:$E,5,0)</f>
        <v>$</v>
      </c>
      <c r="X296" s="156">
        <f>+VLOOKUP($L296,Data_Validation!$A:$F,6,0)</f>
        <v>0</v>
      </c>
    </row>
    <row r="297" spans="1:24" ht="15.75" hidden="1" customHeight="1">
      <c r="A297" s="1147" t="s">
        <v>1442</v>
      </c>
      <c r="B297" s="1147" t="s">
        <v>2770</v>
      </c>
      <c r="C297" s="1149">
        <v>87990.86</v>
      </c>
      <c r="D297" s="1149">
        <v>17456.849999999999</v>
      </c>
      <c r="E297" s="1149">
        <v>105447.71</v>
      </c>
      <c r="F297" s="1147" t="s">
        <v>401</v>
      </c>
      <c r="G297" s="1147" t="s">
        <v>2770</v>
      </c>
      <c r="H297" s="150"/>
      <c r="I297" s="157"/>
      <c r="J297" s="157"/>
      <c r="K297" s="157"/>
      <c r="L297" s="153" t="str">
        <f t="shared" si="20"/>
        <v>6102</v>
      </c>
      <c r="M297" s="154" t="str">
        <f t="shared" si="21"/>
        <v>RENUMERATION F &amp; I</v>
      </c>
      <c r="N297" s="155">
        <f>+IF(OR($Q297=Parametres!$G$2,$Q297=Parametres!$G$3),I297,C297)</f>
        <v>87990.86</v>
      </c>
      <c r="O297" s="1122">
        <f>+IF(OR($Q297=Parametres!$G$2,$Q297=Parametres!$G$3),J297,D297)</f>
        <v>17456.849999999999</v>
      </c>
      <c r="P297" s="155">
        <f>+IF(OR($Q297=Parametres!$G$2,$Q297=Parametres!$G$3),K297,E297)</f>
        <v>105447.71</v>
      </c>
      <c r="Q297" s="154" t="str">
        <f t="shared" si="22"/>
        <v>7-Dépenses</v>
      </c>
      <c r="R297" s="153" t="str">
        <f t="shared" si="23"/>
        <v>6102</v>
      </c>
      <c r="S297" s="154">
        <f t="shared" si="24"/>
        <v>0</v>
      </c>
      <c r="T297" s="156" t="str">
        <f>+VLOOKUP($L297,Data_Validation!$A:$D,1,0)</f>
        <v>6102</v>
      </c>
      <c r="U297" s="156" t="str">
        <f>+VLOOKUP($L297,Data_Validation!$A:$D,3,0)</f>
        <v>Véhicules neufs</v>
      </c>
      <c r="V297" s="156" t="str">
        <f>+VLOOKUP($L297,Data_Validation!$A:$D,4,0)</f>
        <v>Comm. F&amp;I</v>
      </c>
      <c r="W297" s="156" t="str">
        <f>+VLOOKUP($L297,Data_Validation!$A:$E,5,0)</f>
        <v>$</v>
      </c>
      <c r="X297" s="156">
        <f>+VLOOKUP($L297,Data_Validation!$A:$F,6,0)</f>
        <v>0</v>
      </c>
    </row>
    <row r="298" spans="1:24" ht="15" hidden="1" customHeight="1">
      <c r="A298" s="1147" t="s">
        <v>399</v>
      </c>
      <c r="B298" s="1147" t="s">
        <v>2706</v>
      </c>
      <c r="C298" s="1149">
        <v>2891.53</v>
      </c>
      <c r="D298" s="1149">
        <v>445.14</v>
      </c>
      <c r="E298" s="1149">
        <v>3336.67</v>
      </c>
      <c r="F298" s="1147" t="s">
        <v>401</v>
      </c>
      <c r="G298" s="1147" t="s">
        <v>2706</v>
      </c>
      <c r="H298" s="1013"/>
      <c r="I298" s="1013"/>
      <c r="J298" s="1013"/>
      <c r="K298" s="1013"/>
      <c r="L298" s="153" t="str">
        <f t="shared" si="20"/>
        <v>6103</v>
      </c>
      <c r="M298" s="154" t="str">
        <f t="shared" si="21"/>
        <v>RELAT. A LA CLIENTELE &amp; AJUST.</v>
      </c>
      <c r="N298" s="155">
        <f>+IF(OR($Q298=Parametres!$G$2,$Q298=Parametres!$G$3),I298,C298)</f>
        <v>2891.53</v>
      </c>
      <c r="O298" s="1122">
        <f>+IF(OR($Q298=Parametres!$G$2,$Q298=Parametres!$G$3),J298,D298)</f>
        <v>445.14</v>
      </c>
      <c r="P298" s="155">
        <f>+IF(OR($Q298=Parametres!$G$2,$Q298=Parametres!$G$3),K298,E298)</f>
        <v>3336.67</v>
      </c>
      <c r="Q298" s="154" t="str">
        <f t="shared" si="22"/>
        <v>7-Dépenses</v>
      </c>
      <c r="R298" s="153" t="str">
        <f t="shared" si="23"/>
        <v>6103</v>
      </c>
      <c r="S298" s="154">
        <f t="shared" si="24"/>
        <v>0</v>
      </c>
      <c r="T298" s="156" t="str">
        <f>+VLOOKUP($L298,Data_Validation!$A:$D,1,0)</f>
        <v>6103</v>
      </c>
      <c r="U298" s="156" t="str">
        <f>+VLOOKUP($L298,Data_Validation!$A:$D,3,0)</f>
        <v>Véhicules neufs</v>
      </c>
      <c r="V298" s="156" t="str">
        <f>+VLOOKUP($L298,Data_Validation!$A:$D,4,0)</f>
        <v>Service gratuit 1</v>
      </c>
      <c r="W298" s="156" t="str">
        <f>+VLOOKUP($L298,Data_Validation!$A:$E,5,0)</f>
        <v>$</v>
      </c>
      <c r="X298" s="156">
        <f>+VLOOKUP($L298,Data_Validation!$A:$F,6,0)</f>
        <v>0</v>
      </c>
    </row>
    <row r="299" spans="1:24" ht="15" hidden="1" customHeight="1">
      <c r="A299" s="1147" t="s">
        <v>2757</v>
      </c>
      <c r="B299" s="1147" t="s">
        <v>2759</v>
      </c>
      <c r="C299" s="1149">
        <v>3429.63</v>
      </c>
      <c r="D299" s="1149">
        <v>175</v>
      </c>
      <c r="E299" s="1149">
        <v>3604.63</v>
      </c>
      <c r="F299" s="1147" t="s">
        <v>401</v>
      </c>
      <c r="G299" s="1147" t="s">
        <v>2759</v>
      </c>
      <c r="H299" s="1013"/>
      <c r="I299" s="1013"/>
      <c r="J299" s="1013"/>
      <c r="K299" s="1013"/>
      <c r="L299" s="153" t="str">
        <f t="shared" si="20"/>
        <v>6106</v>
      </c>
      <c r="M299" s="154" t="str">
        <f t="shared" si="21"/>
        <v>ENTRETIEN DES STOCKS</v>
      </c>
      <c r="N299" s="155">
        <f>+IF(OR($Q299=Parametres!$G$2,$Q299=Parametres!$G$3),I299,C299)</f>
        <v>3429.63</v>
      </c>
      <c r="O299" s="1122">
        <f>+IF(OR($Q299=Parametres!$G$2,$Q299=Parametres!$G$3),J299,D299)</f>
        <v>175</v>
      </c>
      <c r="P299" s="155">
        <f>+IF(OR($Q299=Parametres!$G$2,$Q299=Parametres!$G$3),K299,E299)</f>
        <v>3604.63</v>
      </c>
      <c r="Q299" s="154" t="str">
        <f t="shared" si="22"/>
        <v>7-Dépenses</v>
      </c>
      <c r="R299" s="153" t="str">
        <f t="shared" si="23"/>
        <v>6106</v>
      </c>
      <c r="S299" s="154">
        <f t="shared" si="24"/>
        <v>0</v>
      </c>
      <c r="T299" s="156" t="str">
        <f>+VLOOKUP($L299,Data_Validation!$A:$D,1,0)</f>
        <v>6106</v>
      </c>
      <c r="U299" s="156" t="str">
        <f>+VLOOKUP($L299,Data_Validation!$A:$D,3,0)</f>
        <v>Véhicules neufs</v>
      </c>
      <c r="V299" s="156" t="str">
        <f>+VLOOKUP($L299,Data_Validation!$A:$D,4,0)</f>
        <v>Entretien stock</v>
      </c>
      <c r="W299" s="156" t="str">
        <f>+VLOOKUP($L299,Data_Validation!$A:$E,5,0)</f>
        <v>$</v>
      </c>
      <c r="X299" s="156">
        <f>+VLOOKUP($L299,Data_Validation!$A:$F,6,0)</f>
        <v>0</v>
      </c>
    </row>
    <row r="300" spans="1:24" ht="15" hidden="1" customHeight="1">
      <c r="A300" s="1147" t="s">
        <v>938</v>
      </c>
      <c r="B300" s="1147" t="s">
        <v>2612</v>
      </c>
      <c r="C300" s="1149">
        <v>81040.899999999994</v>
      </c>
      <c r="D300" s="1149">
        <v>10655.75</v>
      </c>
      <c r="E300" s="1149">
        <v>91696.65</v>
      </c>
      <c r="F300" s="1147" t="s">
        <v>401</v>
      </c>
      <c r="G300" s="1147" t="s">
        <v>2612</v>
      </c>
      <c r="H300" s="1118"/>
      <c r="I300" s="1118"/>
      <c r="J300" s="1118"/>
      <c r="K300" s="1126"/>
      <c r="L300" s="153" t="str">
        <f t="shared" si="20"/>
        <v>6107</v>
      </c>
      <c r="M300" s="154" t="str">
        <f t="shared" si="21"/>
        <v>INTERET-PLAN DE FINANCEMENT</v>
      </c>
      <c r="N300" s="155">
        <f>+IF(OR($Q300=Parametres!$G$2,$Q300=Parametres!$G$3),I300,C300)</f>
        <v>81040.899999999994</v>
      </c>
      <c r="O300" s="1122">
        <f>+IF(OR($Q300=Parametres!$G$2,$Q300=Parametres!$G$3),J300,D300)</f>
        <v>10655.75</v>
      </c>
      <c r="P300" s="155">
        <f>+IF(OR($Q300=Parametres!$G$2,$Q300=Parametres!$G$3),K300,E300)</f>
        <v>91696.65</v>
      </c>
      <c r="Q300" s="154" t="str">
        <f t="shared" si="22"/>
        <v>7-Dépenses</v>
      </c>
      <c r="R300" s="153" t="str">
        <f t="shared" si="23"/>
        <v>6107</v>
      </c>
      <c r="S300" s="154">
        <f t="shared" si="24"/>
        <v>0</v>
      </c>
      <c r="T300" s="156" t="str">
        <f>+VLOOKUP($L300,Data_Validation!$A:$D,1,0)</f>
        <v>6107</v>
      </c>
      <c r="U300" s="156" t="str">
        <f>+VLOOKUP($L300,Data_Validation!$A:$D,3,0)</f>
        <v>Véhicules neufs</v>
      </c>
      <c r="V300" s="156" t="str">
        <f>+VLOOKUP($L300,Data_Validation!$A:$D,4,0)</f>
        <v>Intérêt de gros</v>
      </c>
      <c r="W300" s="156" t="str">
        <f>+VLOOKUP($L300,Data_Validation!$A:$E,5,0)</f>
        <v>$</v>
      </c>
      <c r="X300" s="156">
        <f>+VLOOKUP($L300,Data_Validation!$A:$F,6,0)</f>
        <v>0</v>
      </c>
    </row>
    <row r="301" spans="1:24" ht="15.75" hidden="1" customHeight="1">
      <c r="A301" s="1147" t="s">
        <v>1407</v>
      </c>
      <c r="B301" s="1147" t="s">
        <v>2696</v>
      </c>
      <c r="C301" s="1149">
        <v>52588.09</v>
      </c>
      <c r="D301" s="1149">
        <v>16908.62</v>
      </c>
      <c r="E301" s="1149">
        <v>69496.710000000006</v>
      </c>
      <c r="F301" s="1147" t="s">
        <v>401</v>
      </c>
      <c r="G301" s="1147" t="s">
        <v>2696</v>
      </c>
      <c r="H301" s="1118"/>
      <c r="I301" s="1119"/>
      <c r="J301" s="1119"/>
      <c r="K301" s="1119"/>
      <c r="L301" s="153" t="str">
        <f t="shared" si="20"/>
        <v>6108</v>
      </c>
      <c r="M301" s="154" t="str">
        <f t="shared" si="21"/>
        <v>FRAIS DE LIVRAISON</v>
      </c>
      <c r="N301" s="155">
        <f>+IF(OR($Q301=Parametres!$G$2,$Q301=Parametres!$G$3),I301,C301)</f>
        <v>52588.09</v>
      </c>
      <c r="O301" s="1122">
        <f>+IF(OR($Q301=Parametres!$G$2,$Q301=Parametres!$G$3),J301,D301)</f>
        <v>16908.62</v>
      </c>
      <c r="P301" s="155">
        <f>+IF(OR($Q301=Parametres!$G$2,$Q301=Parametres!$G$3),K301,E301)</f>
        <v>69496.710000000006</v>
      </c>
      <c r="Q301" s="154" t="str">
        <f t="shared" si="22"/>
        <v>7-Dépenses</v>
      </c>
      <c r="R301" s="153" t="str">
        <f t="shared" si="23"/>
        <v>6108</v>
      </c>
      <c r="S301" s="154">
        <f t="shared" si="24"/>
        <v>0</v>
      </c>
      <c r="T301" s="156" t="str">
        <f>+VLOOKUP($L301,Data_Validation!$A:$D,1,0)</f>
        <v>6108</v>
      </c>
      <c r="U301" s="156" t="str">
        <f>+VLOOKUP($L301,Data_Validation!$A:$D,3,0)</f>
        <v>Véhicules neufs</v>
      </c>
      <c r="V301" s="156" t="str">
        <f>+VLOOKUP($L301,Data_Validation!$A:$D,4,0)</f>
        <v>Frais de livraison</v>
      </c>
      <c r="W301" s="156" t="str">
        <f>+VLOOKUP($L301,Data_Validation!$A:$E,5,0)</f>
        <v>$</v>
      </c>
      <c r="X301" s="156">
        <f>+VLOOKUP($L301,Data_Validation!$A:$F,6,0)</f>
        <v>0</v>
      </c>
    </row>
    <row r="302" spans="1:24" ht="15" hidden="1" customHeight="1">
      <c r="A302" s="1147" t="s">
        <v>1374</v>
      </c>
      <c r="B302" s="1147" t="s">
        <v>2113</v>
      </c>
      <c r="C302" s="1149">
        <v>95930.34</v>
      </c>
      <c r="D302" s="1149">
        <v>16981.080000000002</v>
      </c>
      <c r="E302" s="1149">
        <v>112911.42</v>
      </c>
      <c r="F302" s="1147" t="s">
        <v>401</v>
      </c>
      <c r="G302" s="1147" t="s">
        <v>2113</v>
      </c>
      <c r="H302" s="150"/>
      <c r="I302" s="157"/>
      <c r="J302" s="157"/>
      <c r="K302" s="157"/>
      <c r="L302" s="153" t="str">
        <f t="shared" si="20"/>
        <v>6114</v>
      </c>
      <c r="M302" s="154" t="str">
        <f t="shared" si="21"/>
        <v>PUBLICITE</v>
      </c>
      <c r="N302" s="155">
        <f>+IF(OR($Q302=Parametres!$G$2,$Q302=Parametres!$G$3),I302,C302)</f>
        <v>95930.34</v>
      </c>
      <c r="O302" s="1122">
        <f>+IF(OR($Q302=Parametres!$G$2,$Q302=Parametres!$G$3),J302,D302)</f>
        <v>16981.080000000002</v>
      </c>
      <c r="P302" s="155">
        <f>+IF(OR($Q302=Parametres!$G$2,$Q302=Parametres!$G$3),K302,E302)</f>
        <v>112911.42</v>
      </c>
      <c r="Q302" s="154" t="str">
        <f t="shared" si="22"/>
        <v>7-Dépenses</v>
      </c>
      <c r="R302" s="153" t="str">
        <f t="shared" si="23"/>
        <v>6114</v>
      </c>
      <c r="S302" s="154">
        <f t="shared" si="24"/>
        <v>0</v>
      </c>
      <c r="T302" s="156" t="str">
        <f>+VLOOKUP($L302,Data_Validation!$A:$D,1,0)</f>
        <v>6114</v>
      </c>
      <c r="U302" s="156" t="str">
        <f>+VLOOKUP($L302,Data_Validation!$A:$D,3,0)</f>
        <v>Véhicules neufs</v>
      </c>
      <c r="V302" s="156" t="str">
        <f>+VLOOKUP($L302,Data_Validation!$A:$D,4,0)</f>
        <v>Publicité 1</v>
      </c>
      <c r="W302" s="156" t="str">
        <f>+VLOOKUP($L302,Data_Validation!$A:$E,5,0)</f>
        <v>$</v>
      </c>
      <c r="X302" s="156">
        <f>+VLOOKUP($L302,Data_Validation!$A:$F,6,0)</f>
        <v>0</v>
      </c>
    </row>
    <row r="303" spans="1:24" ht="15" hidden="1" customHeight="1">
      <c r="A303" s="1147" t="s">
        <v>2111</v>
      </c>
      <c r="B303" s="1147" t="s">
        <v>2112</v>
      </c>
      <c r="C303" s="1149">
        <v>-36800</v>
      </c>
      <c r="D303" s="1149">
        <v>-6700</v>
      </c>
      <c r="E303" s="1149">
        <v>-43500</v>
      </c>
      <c r="F303" s="1147" t="s">
        <v>401</v>
      </c>
      <c r="G303" s="1147" t="s">
        <v>2113</v>
      </c>
      <c r="H303" s="150"/>
      <c r="I303" s="151"/>
      <c r="J303" s="151"/>
      <c r="K303" s="151"/>
      <c r="L303" s="153" t="str">
        <f t="shared" si="20"/>
        <v>6115</v>
      </c>
      <c r="M303" s="154" t="str">
        <f t="shared" si="21"/>
        <v>CREDIT PUBLICITE NEUF</v>
      </c>
      <c r="N303" s="155">
        <f>+IF(OR($Q303=Parametres!$G$2,$Q303=Parametres!$G$3),I303,C303)</f>
        <v>-36800</v>
      </c>
      <c r="O303" s="1122">
        <f>+IF(OR($Q303=Parametres!$G$2,$Q303=Parametres!$G$3),J303,D303)</f>
        <v>-6700</v>
      </c>
      <c r="P303" s="155">
        <f>+IF(OR($Q303=Parametres!$G$2,$Q303=Parametres!$G$3),K303,E303)</f>
        <v>-43500</v>
      </c>
      <c r="Q303" s="154" t="str">
        <f t="shared" si="22"/>
        <v>7-Dépenses</v>
      </c>
      <c r="R303" s="153" t="str">
        <f t="shared" si="23"/>
        <v>6114</v>
      </c>
      <c r="S303" s="154">
        <f t="shared" si="24"/>
        <v>0</v>
      </c>
      <c r="T303" s="156" t="str">
        <f>+VLOOKUP($L303,Data_Validation!$A:$D,1,0)</f>
        <v>6115</v>
      </c>
      <c r="U303" s="156" t="str">
        <f>+VLOOKUP($L303,Data_Validation!$A:$D,3,0)</f>
        <v>Véhicules neufs</v>
      </c>
      <c r="V303" s="156" t="str">
        <f>+VLOOKUP($L303,Data_Validation!$A:$D,4,0)</f>
        <v>Publicité 1</v>
      </c>
      <c r="W303" s="156" t="str">
        <f>+VLOOKUP($L303,Data_Validation!$A:$E,5,0)</f>
        <v>$</v>
      </c>
      <c r="X303" s="156">
        <f>+VLOOKUP($L303,Data_Validation!$A:$F,6,0)</f>
        <v>0</v>
      </c>
    </row>
    <row r="304" spans="1:24" ht="15" hidden="1" customHeight="1">
      <c r="A304" s="1147" t="s">
        <v>1259</v>
      </c>
      <c r="B304" s="1147" t="s">
        <v>2648</v>
      </c>
      <c r="C304" s="1149">
        <v>5228.5200000000004</v>
      </c>
      <c r="D304" s="1149">
        <v>747.6</v>
      </c>
      <c r="E304" s="1149">
        <v>5976.12</v>
      </c>
      <c r="F304" s="1147" t="s">
        <v>401</v>
      </c>
      <c r="G304" s="1147" t="s">
        <v>2648</v>
      </c>
      <c r="H304" s="150"/>
      <c r="I304" s="151"/>
      <c r="J304" s="151"/>
      <c r="K304" s="151"/>
      <c r="L304" s="153" t="str">
        <f t="shared" si="20"/>
        <v>6121</v>
      </c>
      <c r="M304" s="154" t="str">
        <f t="shared" si="21"/>
        <v>SALAIRES - PROPRIETAIRES</v>
      </c>
      <c r="N304" s="155">
        <f>+IF(OR($Q304=Parametres!$G$2,$Q304=Parametres!$G$3),I304,C304)</f>
        <v>5228.5200000000004</v>
      </c>
      <c r="O304" s="1122">
        <f>+IF(OR($Q304=Parametres!$G$2,$Q304=Parametres!$G$3),J304,D304)</f>
        <v>747.6</v>
      </c>
      <c r="P304" s="155">
        <f>+IF(OR($Q304=Parametres!$G$2,$Q304=Parametres!$G$3),K304,E304)</f>
        <v>5976.12</v>
      </c>
      <c r="Q304" s="154" t="str">
        <f t="shared" si="22"/>
        <v>7-Dépenses</v>
      </c>
      <c r="R304" s="153" t="str">
        <f t="shared" si="23"/>
        <v>6121</v>
      </c>
      <c r="S304" s="154">
        <f t="shared" si="24"/>
        <v>0</v>
      </c>
      <c r="T304" s="156" t="str">
        <f>+VLOOKUP($L304,Data_Validation!$A:$D,1,0)</f>
        <v>6121</v>
      </c>
      <c r="U304" s="156" t="str">
        <f>+VLOOKUP($L304,Data_Validation!$A:$D,3,0)</f>
        <v>Véhicules neufs</v>
      </c>
      <c r="V304" s="156" t="str">
        <f>+VLOOKUP($L304,Data_Validation!$A:$D,4,0)</f>
        <v>Salaires propriétaire</v>
      </c>
      <c r="W304" s="156" t="str">
        <f>+VLOOKUP($L304,Data_Validation!$A:$E,5,0)</f>
        <v>$</v>
      </c>
      <c r="X304" s="156">
        <f>+VLOOKUP($L304,Data_Validation!$A:$F,6,0)</f>
        <v>0</v>
      </c>
    </row>
    <row r="305" spans="1:24" ht="15.75" hidden="1" customHeight="1">
      <c r="A305" s="1147" t="s">
        <v>2624</v>
      </c>
      <c r="B305" s="1147" t="s">
        <v>2626</v>
      </c>
      <c r="C305" s="1149">
        <v>130051.47</v>
      </c>
      <c r="D305" s="1149">
        <v>13797.04</v>
      </c>
      <c r="E305" s="1149">
        <v>143848.51</v>
      </c>
      <c r="F305" s="1147" t="s">
        <v>401</v>
      </c>
      <c r="G305" s="1147" t="s">
        <v>2626</v>
      </c>
      <c r="H305" s="150"/>
      <c r="I305" s="157"/>
      <c r="J305" s="157"/>
      <c r="K305" s="157"/>
      <c r="L305" s="153" t="str">
        <f t="shared" si="20"/>
        <v>6122</v>
      </c>
      <c r="M305" s="154" t="str">
        <f t="shared" si="21"/>
        <v>SAL SUPERVISION / GERANT</v>
      </c>
      <c r="N305" s="155">
        <f>+IF(OR($Q305=Parametres!$G$2,$Q305=Parametres!$G$3),I305,C305)</f>
        <v>130051.47</v>
      </c>
      <c r="O305" s="1122">
        <f>+IF(OR($Q305=Parametres!$G$2,$Q305=Parametres!$G$3),J305,D305)</f>
        <v>13797.04</v>
      </c>
      <c r="P305" s="155">
        <f>+IF(OR($Q305=Parametres!$G$2,$Q305=Parametres!$G$3),K305,E305)</f>
        <v>143848.51</v>
      </c>
      <c r="Q305" s="154" t="str">
        <f t="shared" si="22"/>
        <v>7-Dépenses</v>
      </c>
      <c r="R305" s="153" t="str">
        <f t="shared" si="23"/>
        <v>6122</v>
      </c>
      <c r="S305" s="154">
        <f t="shared" si="24"/>
        <v>0</v>
      </c>
      <c r="T305" s="156" t="str">
        <f>+VLOOKUP($L305,Data_Validation!$A:$D,1,0)</f>
        <v>6122</v>
      </c>
      <c r="U305" s="156" t="str">
        <f>+VLOOKUP($L305,Data_Validation!$A:$D,3,0)</f>
        <v>Véhicules neufs</v>
      </c>
      <c r="V305" s="156" t="str">
        <f>+VLOOKUP($L305,Data_Validation!$A:$D,4,0)</f>
        <v>Salaires cadres</v>
      </c>
      <c r="W305" s="156" t="str">
        <f>+VLOOKUP($L305,Data_Validation!$A:$E,5,0)</f>
        <v>$</v>
      </c>
      <c r="X305" s="156">
        <f>+VLOOKUP($L305,Data_Validation!$A:$F,6,0)</f>
        <v>0</v>
      </c>
    </row>
    <row r="306" spans="1:24" ht="15" hidden="1" customHeight="1">
      <c r="A306" s="1147" t="s">
        <v>1342</v>
      </c>
      <c r="B306" s="1147" t="s">
        <v>2679</v>
      </c>
      <c r="C306" s="1149">
        <v>50385.1</v>
      </c>
      <c r="D306" s="1149">
        <v>8972.99</v>
      </c>
      <c r="E306" s="1149">
        <v>59358.09</v>
      </c>
      <c r="F306" s="1147" t="s">
        <v>401</v>
      </c>
      <c r="G306" s="1147" t="s">
        <v>2679</v>
      </c>
      <c r="H306" s="1118"/>
      <c r="I306" s="1126"/>
      <c r="J306" s="1118"/>
      <c r="K306" s="1126"/>
      <c r="L306" s="153" t="str">
        <f t="shared" si="20"/>
        <v>6123</v>
      </c>
      <c r="M306" s="154" t="str">
        <f t="shared" si="21"/>
        <v>SAL. &amp; RENUM. - CLERICAL</v>
      </c>
      <c r="N306" s="155">
        <f>+IF(OR($Q306=Parametres!$G$2,$Q306=Parametres!$G$3),I306,C306)</f>
        <v>50385.1</v>
      </c>
      <c r="O306" s="1120">
        <f>+IF(OR($Q306=Parametres!$G$2,$Q306=Parametres!$G$3),J306,D306)</f>
        <v>8972.99</v>
      </c>
      <c r="P306" s="155">
        <f>+IF(OR($Q306=Parametres!$G$2,$Q306=Parametres!$G$3),K306,E306)</f>
        <v>59358.09</v>
      </c>
      <c r="Q306" s="154" t="str">
        <f t="shared" si="22"/>
        <v>7-Dépenses</v>
      </c>
      <c r="R306" s="153" t="str">
        <f t="shared" si="23"/>
        <v>6123</v>
      </c>
      <c r="S306" s="154">
        <f t="shared" si="24"/>
        <v>0</v>
      </c>
      <c r="T306" s="156" t="str">
        <f>+VLOOKUP($L306,Data_Validation!$A:$D,1,0)</f>
        <v>6123</v>
      </c>
      <c r="U306" s="156" t="str">
        <f>+VLOOKUP($L306,Data_Validation!$A:$D,3,0)</f>
        <v>Véhicules neufs</v>
      </c>
      <c r="V306" s="156" t="str">
        <f>+VLOOKUP($L306,Data_Validation!$A:$D,4,0)</f>
        <v>Salaires commis</v>
      </c>
      <c r="W306" s="156" t="str">
        <f>+VLOOKUP($L306,Data_Validation!$A:$E,5,0)</f>
        <v>$</v>
      </c>
      <c r="X306" s="156">
        <f>+VLOOKUP($L306,Data_Validation!$A:$F,6,0)</f>
        <v>0</v>
      </c>
    </row>
    <row r="307" spans="1:24" ht="15" hidden="1" customHeight="1">
      <c r="A307" s="1147" t="s">
        <v>1249</v>
      </c>
      <c r="B307" s="1147" t="s">
        <v>2735</v>
      </c>
      <c r="C307" s="1149">
        <v>47354.8</v>
      </c>
      <c r="D307" s="1149">
        <v>9321.31</v>
      </c>
      <c r="E307" s="1149">
        <v>56676.11</v>
      </c>
      <c r="F307" s="1147" t="s">
        <v>401</v>
      </c>
      <c r="G307" s="1147" t="s">
        <v>2735</v>
      </c>
      <c r="H307" s="1118"/>
      <c r="I307" s="1118"/>
      <c r="J307" s="1118"/>
      <c r="K307" s="1118"/>
      <c r="L307" s="153" t="str">
        <f t="shared" si="20"/>
        <v>6124</v>
      </c>
      <c r="M307" s="154" t="str">
        <f t="shared" si="21"/>
        <v>SALAIRES &amp; RENUM. - AUTRES</v>
      </c>
      <c r="N307" s="155">
        <f>+IF(OR($Q307=Parametres!$G$2,$Q307=Parametres!$G$3),I307,C307)</f>
        <v>47354.8</v>
      </c>
      <c r="O307" s="1120">
        <f>+IF(OR($Q307=Parametres!$G$2,$Q307=Parametres!$G$3),J307,D307)</f>
        <v>9321.31</v>
      </c>
      <c r="P307" s="155">
        <f>+IF(OR($Q307=Parametres!$G$2,$Q307=Parametres!$G$3),K307,E307)</f>
        <v>56676.11</v>
      </c>
      <c r="Q307" s="154" t="str">
        <f t="shared" si="22"/>
        <v>7-Dépenses</v>
      </c>
      <c r="R307" s="153" t="str">
        <f t="shared" si="23"/>
        <v>6124</v>
      </c>
      <c r="S307" s="154">
        <f t="shared" si="24"/>
        <v>0</v>
      </c>
      <c r="T307" s="156" t="str">
        <f>+VLOOKUP($L307,Data_Validation!$A:$D,1,0)</f>
        <v>6124</v>
      </c>
      <c r="U307" s="156" t="str">
        <f>+VLOOKUP($L307,Data_Validation!$A:$D,3,0)</f>
        <v>Véhicules neufs</v>
      </c>
      <c r="V307" s="156" t="str">
        <f>+VLOOKUP($L307,Data_Validation!$A:$D,4,0)</f>
        <v>Salaires autres</v>
      </c>
      <c r="W307" s="156" t="str">
        <f>+VLOOKUP($L307,Data_Validation!$A:$E,5,0)</f>
        <v>$</v>
      </c>
      <c r="X307" s="156">
        <f>+VLOOKUP($L307,Data_Validation!$A:$F,6,0)</f>
        <v>0</v>
      </c>
    </row>
    <row r="308" spans="1:24" ht="15" hidden="1" customHeight="1">
      <c r="A308" s="1147" t="s">
        <v>1445</v>
      </c>
      <c r="B308" s="1147" t="s">
        <v>2641</v>
      </c>
      <c r="C308" s="1149">
        <v>73353.990000000005</v>
      </c>
      <c r="D308" s="1149">
        <v>15413.12</v>
      </c>
      <c r="E308" s="1149">
        <v>88767.11</v>
      </c>
      <c r="F308" s="1147" t="s">
        <v>401</v>
      </c>
      <c r="G308" s="1147" t="s">
        <v>2641</v>
      </c>
      <c r="H308" s="948"/>
      <c r="I308" s="947"/>
      <c r="J308" s="947"/>
      <c r="K308" s="947"/>
      <c r="L308" s="153" t="str">
        <f t="shared" si="20"/>
        <v>6129</v>
      </c>
      <c r="M308" s="154" t="str">
        <f t="shared" si="21"/>
        <v>ABS., VACANCE &amp; SAL. JOURS FER</v>
      </c>
      <c r="N308" s="155">
        <f>+IF(OR($Q308=Parametres!$G$2,$Q308=Parametres!$G$3),I308,C308)</f>
        <v>73353.990000000005</v>
      </c>
      <c r="O308" s="1122">
        <f>+IF(OR($Q308=Parametres!$G$2,$Q308=Parametres!$G$3),J308,D308)</f>
        <v>15413.12</v>
      </c>
      <c r="P308" s="155">
        <f>+IF(OR($Q308=Parametres!$G$2,$Q308=Parametres!$G$3),K308,E308)</f>
        <v>88767.11</v>
      </c>
      <c r="Q308" s="154" t="str">
        <f t="shared" si="22"/>
        <v>7-Dépenses</v>
      </c>
      <c r="R308" s="153" t="str">
        <f t="shared" si="23"/>
        <v>6129</v>
      </c>
      <c r="S308" s="154">
        <f t="shared" si="24"/>
        <v>0</v>
      </c>
      <c r="T308" s="156" t="str">
        <f>+VLOOKUP($L308,Data_Validation!$A:$D,1,0)</f>
        <v>6129</v>
      </c>
      <c r="U308" s="156" t="str">
        <f>+VLOOKUP($L308,Data_Validation!$A:$D,3,0)</f>
        <v>Véhicules neufs</v>
      </c>
      <c r="V308" s="156" t="str">
        <f>+VLOOKUP($L308,Data_Validation!$A:$D,4,0)</f>
        <v>Salaires en absences</v>
      </c>
      <c r="W308" s="156" t="str">
        <f>+VLOOKUP($L308,Data_Validation!$A:$E,5,0)</f>
        <v>$</v>
      </c>
      <c r="X308" s="156">
        <f>+VLOOKUP($L308,Data_Validation!$A:$F,6,0)</f>
        <v>0</v>
      </c>
    </row>
    <row r="309" spans="1:24" ht="15.75" hidden="1" customHeight="1">
      <c r="A309" s="1147" t="s">
        <v>1252</v>
      </c>
      <c r="B309" s="1147" t="s">
        <v>2586</v>
      </c>
      <c r="C309" s="1149">
        <v>19428.98</v>
      </c>
      <c r="D309" s="1149">
        <v>1852.65</v>
      </c>
      <c r="E309" s="1149">
        <v>21281.63</v>
      </c>
      <c r="F309" s="1147" t="s">
        <v>401</v>
      </c>
      <c r="G309" s="1147" t="s">
        <v>2586</v>
      </c>
      <c r="H309" s="150"/>
      <c r="I309" s="157"/>
      <c r="J309" s="157"/>
      <c r="K309" s="157"/>
      <c r="L309" s="153" t="str">
        <f t="shared" si="20"/>
        <v>6131</v>
      </c>
      <c r="M309" s="154" t="str">
        <f t="shared" si="21"/>
        <v>CSST</v>
      </c>
      <c r="N309" s="155">
        <f>+IF(OR($Q309=Parametres!$G$2,$Q309=Parametres!$G$3),I309,C309)</f>
        <v>19428.98</v>
      </c>
      <c r="O309" s="1122">
        <f>+IF(OR($Q309=Parametres!$G$2,$Q309=Parametres!$G$3),J309,D309)</f>
        <v>1852.65</v>
      </c>
      <c r="P309" s="155">
        <f>+IF(OR($Q309=Parametres!$G$2,$Q309=Parametres!$G$3),K309,E309)</f>
        <v>21281.63</v>
      </c>
      <c r="Q309" s="154" t="str">
        <f t="shared" si="22"/>
        <v>7-Dépenses</v>
      </c>
      <c r="R309" s="153" t="str">
        <f t="shared" si="23"/>
        <v>6131</v>
      </c>
      <c r="S309" s="154">
        <f t="shared" si="24"/>
        <v>0</v>
      </c>
      <c r="T309" s="156" t="str">
        <f>+VLOOKUP($L309,Data_Validation!$A:$D,1,0)</f>
        <v>6131</v>
      </c>
      <c r="U309" s="156" t="str">
        <f>+VLOOKUP($L309,Data_Validation!$A:$D,3,0)</f>
        <v>Véhicules neufs</v>
      </c>
      <c r="V309" s="156" t="str">
        <f>+VLOOKUP($L309,Data_Validation!$A:$D,4,0)</f>
        <v>Csst</v>
      </c>
      <c r="W309" s="156" t="str">
        <f>+VLOOKUP($L309,Data_Validation!$A:$E,5,0)</f>
        <v>$</v>
      </c>
      <c r="X309" s="156">
        <f>+VLOOKUP($L309,Data_Validation!$A:$F,6,0)</f>
        <v>0</v>
      </c>
    </row>
    <row r="310" spans="1:24" ht="15" hidden="1" customHeight="1">
      <c r="A310" s="1147" t="s">
        <v>1283</v>
      </c>
      <c r="B310" s="1147" t="s">
        <v>2685</v>
      </c>
      <c r="C310" s="1149">
        <v>62573.84</v>
      </c>
      <c r="D310" s="1149">
        <v>11115.9</v>
      </c>
      <c r="E310" s="1149">
        <v>73689.740000000005</v>
      </c>
      <c r="F310" s="1147" t="s">
        <v>401</v>
      </c>
      <c r="G310" s="1147" t="s">
        <v>2685</v>
      </c>
      <c r="H310" s="150"/>
      <c r="I310" s="157"/>
      <c r="J310" s="157"/>
      <c r="K310" s="157"/>
      <c r="L310" s="153" t="str">
        <f t="shared" si="20"/>
        <v>6132</v>
      </c>
      <c r="M310" s="154" t="str">
        <f t="shared" si="21"/>
        <v>RRQ RAMQ AC</v>
      </c>
      <c r="N310" s="155">
        <f>+IF(OR($Q310=Parametres!$G$2,$Q310=Parametres!$G$3),I310,C310)</f>
        <v>62573.84</v>
      </c>
      <c r="O310" s="1122">
        <f>+IF(OR($Q310=Parametres!$G$2,$Q310=Parametres!$G$3),J310,D310)</f>
        <v>11115.9</v>
      </c>
      <c r="P310" s="155">
        <f>+IF(OR($Q310=Parametres!$G$2,$Q310=Parametres!$G$3),K310,E310)</f>
        <v>73689.740000000005</v>
      </c>
      <c r="Q310" s="154" t="str">
        <f t="shared" si="22"/>
        <v>7-Dépenses</v>
      </c>
      <c r="R310" s="153" t="str">
        <f t="shared" si="23"/>
        <v>6132</v>
      </c>
      <c r="S310" s="154">
        <f t="shared" si="24"/>
        <v>0</v>
      </c>
      <c r="T310" s="156" t="str">
        <f>+VLOOKUP($L310,Data_Validation!$A:$D,1,0)</f>
        <v>6132</v>
      </c>
      <c r="U310" s="156" t="str">
        <f>+VLOOKUP($L310,Data_Validation!$A:$D,3,0)</f>
        <v>Véhicules neufs</v>
      </c>
      <c r="V310" s="156" t="str">
        <f>+VLOOKUP($L310,Data_Validation!$A:$D,4,0)</f>
        <v>Déduction à la source</v>
      </c>
      <c r="W310" s="156" t="str">
        <f>+VLOOKUP($L310,Data_Validation!$A:$E,5,0)</f>
        <v>$</v>
      </c>
      <c r="X310" s="156">
        <f>+VLOOKUP($L310,Data_Validation!$A:$F,6,0)</f>
        <v>0</v>
      </c>
    </row>
    <row r="311" spans="1:24" ht="15" hidden="1" customHeight="1">
      <c r="A311" s="1147" t="s">
        <v>1414</v>
      </c>
      <c r="B311" s="1147" t="s">
        <v>2694</v>
      </c>
      <c r="C311" s="1149">
        <v>44844.58</v>
      </c>
      <c r="D311" s="1149">
        <v>7966.39</v>
      </c>
      <c r="E311" s="1149">
        <v>52810.97</v>
      </c>
      <c r="F311" s="1147" t="s">
        <v>401</v>
      </c>
      <c r="G311" s="1147" t="s">
        <v>2694</v>
      </c>
      <c r="H311" s="150"/>
      <c r="I311" s="157"/>
      <c r="J311" s="157"/>
      <c r="K311" s="157"/>
      <c r="L311" s="153" t="str">
        <f t="shared" si="20"/>
        <v>6139</v>
      </c>
      <c r="M311" s="154" t="str">
        <f t="shared" si="21"/>
        <v>ASSURANCE GROUPS</v>
      </c>
      <c r="N311" s="155">
        <f>+IF(OR($Q311=Parametres!$G$2,$Q311=Parametres!$G$3),I311,C311)</f>
        <v>44844.58</v>
      </c>
      <c r="O311" s="1122">
        <f>+IF(OR($Q311=Parametres!$G$2,$Q311=Parametres!$G$3),J311,D311)</f>
        <v>7966.39</v>
      </c>
      <c r="P311" s="155">
        <f>+IF(OR($Q311=Parametres!$G$2,$Q311=Parametres!$G$3),K311,E311)</f>
        <v>52810.97</v>
      </c>
      <c r="Q311" s="154" t="str">
        <f t="shared" si="22"/>
        <v>7-Dépenses</v>
      </c>
      <c r="R311" s="153" t="str">
        <f t="shared" si="23"/>
        <v>6139</v>
      </c>
      <c r="S311" s="154">
        <f t="shared" si="24"/>
        <v>0</v>
      </c>
      <c r="T311" s="156" t="str">
        <f>+VLOOKUP($L311,Data_Validation!$A:$D,1,0)</f>
        <v>6139</v>
      </c>
      <c r="U311" s="156" t="str">
        <f>+VLOOKUP($L311,Data_Validation!$A:$D,3,0)</f>
        <v>Véhicules neufs</v>
      </c>
      <c r="V311" s="156" t="str">
        <f>+VLOOKUP($L311,Data_Validation!$A:$D,4,0)</f>
        <v>Bénéfices marginaux</v>
      </c>
      <c r="W311" s="156" t="str">
        <f>+VLOOKUP($L311,Data_Validation!$A:$E,5,0)</f>
        <v>$</v>
      </c>
      <c r="X311" s="156">
        <f>+VLOOKUP($L311,Data_Validation!$A:$F,6,0)</f>
        <v>0</v>
      </c>
    </row>
    <row r="312" spans="1:24" ht="15" hidden="1" customHeight="1">
      <c r="A312" s="1147" t="s">
        <v>1157</v>
      </c>
      <c r="B312" s="1147" t="s">
        <v>2563</v>
      </c>
      <c r="C312" s="1149">
        <v>560.86</v>
      </c>
      <c r="D312" s="1149">
        <v>0</v>
      </c>
      <c r="E312" s="1149">
        <v>560.86</v>
      </c>
      <c r="F312" s="1147" t="s">
        <v>401</v>
      </c>
      <c r="G312" s="1147" t="s">
        <v>2563</v>
      </c>
      <c r="H312" s="948"/>
      <c r="I312" s="948"/>
      <c r="J312" s="948"/>
      <c r="K312" s="948"/>
      <c r="L312" s="153" t="str">
        <f t="shared" si="20"/>
        <v>6142</v>
      </c>
      <c r="M312" s="154" t="str">
        <f t="shared" si="21"/>
        <v>FOURNITURES &amp; PETITS OUTILS</v>
      </c>
      <c r="N312" s="155">
        <f>+IF(OR($Q312=Parametres!$G$2,$Q312=Parametres!$G$3),I312,C312)</f>
        <v>560.86</v>
      </c>
      <c r="O312" s="1122">
        <f>+IF(OR($Q312=Parametres!$G$2,$Q312=Parametres!$G$3),J312,D312)</f>
        <v>0</v>
      </c>
      <c r="P312" s="155">
        <f>+IF(OR($Q312=Parametres!$G$2,$Q312=Parametres!$G$3),K312,E312)</f>
        <v>560.86</v>
      </c>
      <c r="Q312" s="154" t="str">
        <f t="shared" si="22"/>
        <v>7-Dépenses</v>
      </c>
      <c r="R312" s="153" t="str">
        <f t="shared" si="23"/>
        <v>6142</v>
      </c>
      <c r="S312" s="154">
        <f t="shared" si="24"/>
        <v>0</v>
      </c>
      <c r="T312" s="156" t="str">
        <f>+VLOOKUP($L312,Data_Validation!$A:$D,1,0)</f>
        <v>6142</v>
      </c>
      <c r="U312" s="156" t="str">
        <f>+VLOOKUP($L312,Data_Validation!$A:$D,3,0)</f>
        <v>Véhicules neufs</v>
      </c>
      <c r="V312" s="156" t="str">
        <f>+VLOOKUP($L312,Data_Validation!$A:$D,4,0)</f>
        <v>Fournitures autres</v>
      </c>
      <c r="W312" s="156" t="str">
        <f>+VLOOKUP($L312,Data_Validation!$A:$E,5,0)</f>
        <v>$</v>
      </c>
      <c r="X312" s="156">
        <f>+VLOOKUP($L312,Data_Validation!$A:$F,6,0)</f>
        <v>0</v>
      </c>
    </row>
    <row r="313" spans="1:24" ht="15" hidden="1" customHeight="1">
      <c r="A313" s="1147" t="s">
        <v>934</v>
      </c>
      <c r="B313" s="1147" t="s">
        <v>2561</v>
      </c>
      <c r="C313" s="1149">
        <v>5859.98</v>
      </c>
      <c r="D313" s="1149">
        <v>523.33000000000004</v>
      </c>
      <c r="E313" s="1149">
        <v>6383.31</v>
      </c>
      <c r="F313" s="1147" t="s">
        <v>401</v>
      </c>
      <c r="G313" s="1147" t="s">
        <v>2561</v>
      </c>
      <c r="H313" s="150"/>
      <c r="I313" s="151"/>
      <c r="J313" s="151"/>
      <c r="K313" s="151"/>
      <c r="L313" s="153" t="str">
        <f t="shared" si="20"/>
        <v>6144</v>
      </c>
      <c r="M313" s="154" t="str">
        <f t="shared" si="21"/>
        <v>FORMATION</v>
      </c>
      <c r="N313" s="155">
        <f>+IF(OR($Q313=Parametres!$G$2,$Q313=Parametres!$G$3),I313,C313)</f>
        <v>5859.98</v>
      </c>
      <c r="O313" s="1122">
        <f>+IF(OR($Q313=Parametres!$G$2,$Q313=Parametres!$G$3),J313,D313)</f>
        <v>523.33000000000004</v>
      </c>
      <c r="P313" s="155">
        <f>+IF(OR($Q313=Parametres!$G$2,$Q313=Parametres!$G$3),K313,E313)</f>
        <v>6383.31</v>
      </c>
      <c r="Q313" s="154" t="str">
        <f t="shared" si="22"/>
        <v>7-Dépenses</v>
      </c>
      <c r="R313" s="153" t="str">
        <f t="shared" si="23"/>
        <v>6144</v>
      </c>
      <c r="S313" s="154">
        <f t="shared" si="24"/>
        <v>0</v>
      </c>
      <c r="T313" s="156" t="str">
        <f>+VLOOKUP($L313,Data_Validation!$A:$D,1,0)</f>
        <v>6144</v>
      </c>
      <c r="U313" s="156" t="str">
        <f>+VLOOKUP($L313,Data_Validation!$A:$D,3,0)</f>
        <v>Véhicules neufs</v>
      </c>
      <c r="V313" s="156" t="str">
        <f>+VLOOKUP($L313,Data_Validation!$A:$D,4,0)</f>
        <v>Formation</v>
      </c>
      <c r="W313" s="156" t="str">
        <f>+VLOOKUP($L313,Data_Validation!$A:$E,5,0)</f>
        <v>$</v>
      </c>
      <c r="X313" s="156">
        <f>+VLOOKUP($L313,Data_Validation!$A:$F,6,0)</f>
        <v>0</v>
      </c>
    </row>
    <row r="314" spans="1:24" ht="15" hidden="1" customHeight="1">
      <c r="A314" s="1147" t="s">
        <v>1186</v>
      </c>
      <c r="B314" s="1147" t="s">
        <v>2632</v>
      </c>
      <c r="C314" s="1149">
        <v>36032.199999999997</v>
      </c>
      <c r="D314" s="1149">
        <v>5681.11</v>
      </c>
      <c r="E314" s="1149">
        <v>41713.31</v>
      </c>
      <c r="F314" s="1147" t="s">
        <v>401</v>
      </c>
      <c r="G314" s="1147" t="s">
        <v>2632</v>
      </c>
      <c r="H314" s="1118"/>
      <c r="I314" s="1118"/>
      <c r="J314" s="1118"/>
      <c r="K314" s="1118"/>
      <c r="L314" s="153" t="str">
        <f t="shared" si="20"/>
        <v>6145</v>
      </c>
      <c r="M314" s="154" t="str">
        <f t="shared" si="21"/>
        <v>VEHICULE DE COMPAGNIE - DEPENS</v>
      </c>
      <c r="N314" s="155">
        <f>+IF(OR($Q314=Parametres!$G$2,$Q314=Parametres!$G$3),I314,C314)</f>
        <v>36032.199999999997</v>
      </c>
      <c r="O314" s="1120">
        <f>+IF(OR($Q314=Parametres!$G$2,$Q314=Parametres!$G$3),J314,D314)</f>
        <v>5681.11</v>
      </c>
      <c r="P314" s="155">
        <f>+IF(OR($Q314=Parametres!$G$2,$Q314=Parametres!$G$3),K314,E314)</f>
        <v>41713.31</v>
      </c>
      <c r="Q314" s="154" t="str">
        <f t="shared" si="22"/>
        <v>7-Dépenses</v>
      </c>
      <c r="R314" s="153" t="str">
        <f t="shared" si="23"/>
        <v>6145</v>
      </c>
      <c r="S314" s="154">
        <f t="shared" si="24"/>
        <v>0</v>
      </c>
      <c r="T314" s="156" t="str">
        <f>+VLOOKUP($L314,Data_Validation!$A:$D,1,0)</f>
        <v>6145</v>
      </c>
      <c r="U314" s="156" t="str">
        <f>+VLOOKUP($L314,Data_Validation!$A:$D,3,0)</f>
        <v>Véhicules neufs</v>
      </c>
      <c r="V314" s="156" t="str">
        <f>+VLOOKUP($L314,Data_Validation!$A:$D,4,0)</f>
        <v>Frais véhicules de cie</v>
      </c>
      <c r="W314" s="156" t="str">
        <f>+VLOOKUP($L314,Data_Validation!$A:$E,5,0)</f>
        <v>$</v>
      </c>
      <c r="X314" s="156">
        <f>+VLOOKUP($L314,Data_Validation!$A:$F,6,0)</f>
        <v>0</v>
      </c>
    </row>
    <row r="315" spans="1:24" ht="15" hidden="1" customHeight="1">
      <c r="A315" s="1147" t="s">
        <v>1180</v>
      </c>
      <c r="B315" s="1147" t="s">
        <v>2581</v>
      </c>
      <c r="C315" s="1149">
        <v>768.8</v>
      </c>
      <c r="D315" s="1149">
        <v>242.49</v>
      </c>
      <c r="E315" s="1149">
        <v>1011.29</v>
      </c>
      <c r="F315" s="1147" t="s">
        <v>401</v>
      </c>
      <c r="G315" s="1147" t="s">
        <v>2581</v>
      </c>
      <c r="H315" s="1118"/>
      <c r="I315" s="1119"/>
      <c r="J315" s="1119"/>
      <c r="K315" s="1119"/>
      <c r="L315" s="153" t="str">
        <f t="shared" si="20"/>
        <v>6147</v>
      </c>
      <c r="M315" s="154" t="str">
        <f t="shared" si="21"/>
        <v>FRET/EXPRESS/TRANS. PAR CAMION</v>
      </c>
      <c r="N315" s="155">
        <f>+IF(OR($Q315=Parametres!$G$2,$Q315=Parametres!$G$3),I315,C315)</f>
        <v>768.8</v>
      </c>
      <c r="O315" s="1122">
        <f>+IF(OR($Q315=Parametres!$G$2,$Q315=Parametres!$G$3),J315,D315)</f>
        <v>242.49</v>
      </c>
      <c r="P315" s="155">
        <f>+IF(OR($Q315=Parametres!$G$2,$Q315=Parametres!$G$3),K315,E315)</f>
        <v>1011.29</v>
      </c>
      <c r="Q315" s="154" t="str">
        <f t="shared" si="22"/>
        <v>7-Dépenses</v>
      </c>
      <c r="R315" s="153" t="str">
        <f t="shared" si="23"/>
        <v>6147</v>
      </c>
      <c r="S315" s="154">
        <f t="shared" si="24"/>
        <v>0</v>
      </c>
      <c r="T315" s="156" t="str">
        <f>+VLOOKUP($L315,Data_Validation!$A:$D,1,0)</f>
        <v>6147</v>
      </c>
      <c r="U315" s="156" t="str">
        <f>+VLOOKUP($L315,Data_Validation!$A:$D,3,0)</f>
        <v>Véhicules neufs</v>
      </c>
      <c r="V315" s="156" t="str">
        <f>+VLOOKUP($L315,Data_Validation!$A:$D,4,0)</f>
        <v>Frais postaux</v>
      </c>
      <c r="W315" s="156" t="str">
        <f>+VLOOKUP($L315,Data_Validation!$A:$E,5,0)</f>
        <v>$</v>
      </c>
      <c r="X315" s="156">
        <f>+VLOOKUP($L315,Data_Validation!$A:$F,6,0)</f>
        <v>0</v>
      </c>
    </row>
    <row r="316" spans="1:24" ht="15" hidden="1" customHeight="1">
      <c r="A316" s="1147" t="s">
        <v>1286</v>
      </c>
      <c r="B316" s="1147" t="s">
        <v>2702</v>
      </c>
      <c r="C316" s="1149">
        <v>33645.96</v>
      </c>
      <c r="D316" s="1149">
        <v>5374.89</v>
      </c>
      <c r="E316" s="1149">
        <v>39020.85</v>
      </c>
      <c r="F316" s="1147" t="s">
        <v>401</v>
      </c>
      <c r="G316" s="1147" t="s">
        <v>2702</v>
      </c>
      <c r="H316" s="1118"/>
      <c r="I316" s="1118"/>
      <c r="J316" s="1118"/>
      <c r="K316" s="1118"/>
      <c r="L316" s="153" t="str">
        <f t="shared" si="20"/>
        <v>6151</v>
      </c>
      <c r="M316" s="154" t="str">
        <f t="shared" si="21"/>
        <v>DEP. DU TRAITEMENT DES DONNEES</v>
      </c>
      <c r="N316" s="155">
        <f>+IF(OR($Q316=Parametres!$G$2,$Q316=Parametres!$G$3),I316,C316)</f>
        <v>33645.96</v>
      </c>
      <c r="O316" s="1122">
        <f>+IF(OR($Q316=Parametres!$G$2,$Q316=Parametres!$G$3),J316,D316)</f>
        <v>5374.89</v>
      </c>
      <c r="P316" s="155">
        <f>+IF(OR($Q316=Parametres!$G$2,$Q316=Parametres!$G$3),K316,E316)</f>
        <v>39020.85</v>
      </c>
      <c r="Q316" s="154" t="str">
        <f t="shared" si="22"/>
        <v>7-Dépenses</v>
      </c>
      <c r="R316" s="153" t="str">
        <f t="shared" si="23"/>
        <v>6151</v>
      </c>
      <c r="S316" s="154">
        <f t="shared" si="24"/>
        <v>0</v>
      </c>
      <c r="T316" s="156" t="str">
        <f>+VLOOKUP($L316,Data_Validation!$A:$D,1,0)</f>
        <v>6151</v>
      </c>
      <c r="U316" s="156" t="str">
        <f>+VLOOKUP($L316,Data_Validation!$A:$D,3,0)</f>
        <v>Véhicules neufs</v>
      </c>
      <c r="V316" s="156" t="str">
        <f>+VLOOKUP($L316,Data_Validation!$A:$D,4,0)</f>
        <v>Informatique</v>
      </c>
      <c r="W316" s="156" t="str">
        <f>+VLOOKUP($L316,Data_Validation!$A:$E,5,0)</f>
        <v>$</v>
      </c>
      <c r="X316" s="156">
        <f>+VLOOKUP($L316,Data_Validation!$A:$F,6,0)</f>
        <v>0</v>
      </c>
    </row>
    <row r="317" spans="1:24" ht="15" hidden="1" customHeight="1">
      <c r="A317" s="1147" t="s">
        <v>1206</v>
      </c>
      <c r="B317" s="1147" t="s">
        <v>2588</v>
      </c>
      <c r="C317" s="1149">
        <v>3368.61</v>
      </c>
      <c r="D317" s="1149">
        <v>466.66</v>
      </c>
      <c r="E317" s="1149">
        <v>3835.27</v>
      </c>
      <c r="F317" s="1147" t="s">
        <v>401</v>
      </c>
      <c r="G317" s="1147" t="s">
        <v>2588</v>
      </c>
      <c r="H317" s="1118"/>
      <c r="I317" s="1119"/>
      <c r="J317" s="1119"/>
      <c r="K317" s="1119"/>
      <c r="L317" s="153" t="str">
        <f t="shared" si="20"/>
        <v>6152</v>
      </c>
      <c r="M317" s="154" t="str">
        <f t="shared" si="21"/>
        <v>PAPETERIE</v>
      </c>
      <c r="N317" s="155">
        <f>+IF(OR($Q317=Parametres!$G$2,$Q317=Parametres!$G$3),I317,C317)</f>
        <v>3368.61</v>
      </c>
      <c r="O317" s="1120">
        <f>+IF(OR($Q317=Parametres!$G$2,$Q317=Parametres!$G$3),J317,D317)</f>
        <v>466.66</v>
      </c>
      <c r="P317" s="155">
        <f>+IF(OR($Q317=Parametres!$G$2,$Q317=Parametres!$G$3),K317,E317)</f>
        <v>3835.27</v>
      </c>
      <c r="Q317" s="154" t="str">
        <f t="shared" si="22"/>
        <v>7-Dépenses</v>
      </c>
      <c r="R317" s="153" t="str">
        <f t="shared" si="23"/>
        <v>6152</v>
      </c>
      <c r="S317" s="154">
        <f t="shared" si="24"/>
        <v>0</v>
      </c>
      <c r="T317" s="156" t="str">
        <f>+VLOOKUP($L317,Data_Validation!$A:$D,1,0)</f>
        <v>6152</v>
      </c>
      <c r="U317" s="156" t="str">
        <f>+VLOOKUP($L317,Data_Validation!$A:$D,3,0)</f>
        <v>Véhicules neufs</v>
      </c>
      <c r="V317" s="156" t="str">
        <f>+VLOOKUP($L317,Data_Validation!$A:$D,4,0)</f>
        <v>Papeterie</v>
      </c>
      <c r="W317" s="156" t="str">
        <f>+VLOOKUP($L317,Data_Validation!$A:$E,5,0)</f>
        <v>$</v>
      </c>
      <c r="X317" s="156">
        <f>+VLOOKUP($L317,Data_Validation!$A:$F,6,0)</f>
        <v>0</v>
      </c>
    </row>
    <row r="318" spans="1:24" ht="15.75" hidden="1" customHeight="1">
      <c r="A318" s="1147" t="s">
        <v>1154</v>
      </c>
      <c r="B318" s="1147" t="s">
        <v>2592</v>
      </c>
      <c r="C318" s="1149">
        <v>1772.71</v>
      </c>
      <c r="D318" s="1149">
        <v>216.99</v>
      </c>
      <c r="E318" s="1149">
        <v>1989.7</v>
      </c>
      <c r="F318" s="1147" t="s">
        <v>401</v>
      </c>
      <c r="G318" s="1147" t="s">
        <v>2592</v>
      </c>
      <c r="H318" s="1118"/>
      <c r="I318" s="1118"/>
      <c r="J318" s="1118"/>
      <c r="K318" s="1118"/>
      <c r="L318" s="153" t="str">
        <f t="shared" si="20"/>
        <v>6153</v>
      </c>
      <c r="M318" s="154" t="str">
        <f t="shared" si="21"/>
        <v>TELEPHONE ET TELEX</v>
      </c>
      <c r="N318" s="155">
        <f>+IF(OR($Q318=Parametres!$G$2,$Q318=Parametres!$G$3),I318,C318)</f>
        <v>1772.71</v>
      </c>
      <c r="O318" s="1122">
        <f>+IF(OR($Q318=Parametres!$G$2,$Q318=Parametres!$G$3),J318,D318)</f>
        <v>216.99</v>
      </c>
      <c r="P318" s="155">
        <f>+IF(OR($Q318=Parametres!$G$2,$Q318=Parametres!$G$3),K318,E318)</f>
        <v>1989.7</v>
      </c>
      <c r="Q318" s="154" t="str">
        <f t="shared" si="22"/>
        <v>7-Dépenses</v>
      </c>
      <c r="R318" s="153" t="str">
        <f t="shared" si="23"/>
        <v>6153</v>
      </c>
      <c r="S318" s="154">
        <f t="shared" si="24"/>
        <v>0</v>
      </c>
      <c r="T318" s="156" t="str">
        <f>+VLOOKUP($L318,Data_Validation!$A:$D,1,0)</f>
        <v>6153</v>
      </c>
      <c r="U318" s="156" t="str">
        <f>+VLOOKUP($L318,Data_Validation!$A:$D,3,0)</f>
        <v>Véhicules neufs</v>
      </c>
      <c r="V318" s="156" t="str">
        <f>+VLOOKUP($L318,Data_Validation!$A:$D,4,0)</f>
        <v>Téléphone</v>
      </c>
      <c r="W318" s="156" t="str">
        <f>+VLOOKUP($L318,Data_Validation!$A:$E,5,0)</f>
        <v>$</v>
      </c>
      <c r="X318" s="156">
        <f>+VLOOKUP($L318,Data_Validation!$A:$F,6,0)</f>
        <v>0</v>
      </c>
    </row>
    <row r="319" spans="1:24" ht="15" hidden="1" customHeight="1">
      <c r="A319" s="1147" t="s">
        <v>1237</v>
      </c>
      <c r="B319" s="1147" t="s">
        <v>2637</v>
      </c>
      <c r="C319" s="1149">
        <v>5583.29</v>
      </c>
      <c r="D319" s="1149">
        <v>803.71</v>
      </c>
      <c r="E319" s="1149">
        <v>6387</v>
      </c>
      <c r="F319" s="1147" t="s">
        <v>401</v>
      </c>
      <c r="G319" s="1147" t="s">
        <v>2637</v>
      </c>
      <c r="H319" s="1118"/>
      <c r="I319" s="1119"/>
      <c r="J319" s="1119"/>
      <c r="K319" s="1119"/>
      <c r="L319" s="153" t="str">
        <f t="shared" si="20"/>
        <v>6155</v>
      </c>
      <c r="M319" s="154" t="str">
        <f t="shared" si="21"/>
        <v>DEPENSES DIVERS</v>
      </c>
      <c r="N319" s="155">
        <f>+IF(OR($Q319=Parametres!$G$2,$Q319=Parametres!$G$3),I319,C319)</f>
        <v>5583.29</v>
      </c>
      <c r="O319" s="1120">
        <f>+IF(OR($Q319=Parametres!$G$2,$Q319=Parametres!$G$3),J319,D319)</f>
        <v>803.71</v>
      </c>
      <c r="P319" s="155">
        <f>+IF(OR($Q319=Parametres!$G$2,$Q319=Parametres!$G$3),K319,E319)</f>
        <v>6387</v>
      </c>
      <c r="Q319" s="154" t="str">
        <f t="shared" si="22"/>
        <v>7-Dépenses</v>
      </c>
      <c r="R319" s="153" t="str">
        <f t="shared" si="23"/>
        <v>6155</v>
      </c>
      <c r="S319" s="154">
        <f t="shared" si="24"/>
        <v>0</v>
      </c>
      <c r="T319" s="156" t="str">
        <f>+VLOOKUP($L319,Data_Validation!$A:$D,1,0)</f>
        <v>6155</v>
      </c>
      <c r="U319" s="156" t="str">
        <f>+VLOOKUP($L319,Data_Validation!$A:$D,3,0)</f>
        <v>Véhicules neufs</v>
      </c>
      <c r="V319" s="156" t="str">
        <f>+VLOOKUP($L319,Data_Validation!$A:$D,4,0)</f>
        <v>Divers</v>
      </c>
      <c r="W319" s="156" t="str">
        <f>+VLOOKUP($L319,Data_Validation!$A:$E,5,0)</f>
        <v>$</v>
      </c>
      <c r="X319" s="156">
        <f>+VLOOKUP($L319,Data_Validation!$A:$F,6,0)</f>
        <v>0</v>
      </c>
    </row>
    <row r="320" spans="1:24" ht="15" hidden="1" customHeight="1">
      <c r="A320" s="1147" t="s">
        <v>1315</v>
      </c>
      <c r="B320" s="1147" t="s">
        <v>2470</v>
      </c>
      <c r="C320" s="1149">
        <v>2336.38</v>
      </c>
      <c r="D320" s="1149">
        <v>1790.95</v>
      </c>
      <c r="E320" s="1149">
        <v>4127.33</v>
      </c>
      <c r="F320" s="1147" t="s">
        <v>401</v>
      </c>
      <c r="G320" s="1147" t="s">
        <v>2470</v>
      </c>
      <c r="H320" s="150"/>
      <c r="I320" s="157"/>
      <c r="J320" s="157"/>
      <c r="K320" s="157"/>
      <c r="L320" s="153" t="str">
        <f t="shared" si="20"/>
        <v>6156</v>
      </c>
      <c r="M320" s="154" t="str">
        <f t="shared" si="21"/>
        <v>FRAIS REPRESENTATION - NEUF</v>
      </c>
      <c r="N320" s="155">
        <f>+IF(OR($Q320=Parametres!$G$2,$Q320=Parametres!$G$3),I320,C320)</f>
        <v>2336.38</v>
      </c>
      <c r="O320" s="1122">
        <f>+IF(OR($Q320=Parametres!$G$2,$Q320=Parametres!$G$3),J320,D320)</f>
        <v>1790.95</v>
      </c>
      <c r="P320" s="155">
        <f>+IF(OR($Q320=Parametres!$G$2,$Q320=Parametres!$G$3),K320,E320)</f>
        <v>4127.33</v>
      </c>
      <c r="Q320" s="154" t="str">
        <f t="shared" si="22"/>
        <v>7-Dépenses</v>
      </c>
      <c r="R320" s="153" t="str">
        <f t="shared" si="23"/>
        <v>6156</v>
      </c>
      <c r="S320" s="154">
        <f t="shared" si="24"/>
        <v>0</v>
      </c>
      <c r="T320" s="156" t="str">
        <f>+VLOOKUP($L320,Data_Validation!$A:$D,1,0)</f>
        <v>6156</v>
      </c>
      <c r="U320" s="156" t="str">
        <f>+VLOOKUP($L320,Data_Validation!$A:$D,3,0)</f>
        <v>Véhicules neufs</v>
      </c>
      <c r="V320" s="156" t="str">
        <f>+VLOOKUP($L320,Data_Validation!$A:$D,4,0)</f>
        <v>Frais de déplacement</v>
      </c>
      <c r="W320" s="156" t="str">
        <f>+VLOOKUP($L320,Data_Validation!$A:$E,5,0)</f>
        <v>$</v>
      </c>
      <c r="X320" s="156">
        <f>+VLOOKUP($L320,Data_Validation!$A:$F,6,0)</f>
        <v>0</v>
      </c>
    </row>
    <row r="321" spans="1:24" ht="15" hidden="1" customHeight="1">
      <c r="A321" s="1147" t="s">
        <v>1308</v>
      </c>
      <c r="B321" s="1147" t="s">
        <v>2662</v>
      </c>
      <c r="C321" s="1149">
        <v>43984.54</v>
      </c>
      <c r="D321" s="1149">
        <v>6768.76</v>
      </c>
      <c r="E321" s="1149">
        <v>50753.3</v>
      </c>
      <c r="F321" s="1147" t="s">
        <v>401</v>
      </c>
      <c r="G321" s="1147" t="s">
        <v>2662</v>
      </c>
      <c r="H321" s="150"/>
      <c r="I321" s="157"/>
      <c r="J321" s="157"/>
      <c r="K321" s="157"/>
      <c r="L321" s="153" t="str">
        <f t="shared" si="20"/>
        <v>6159</v>
      </c>
      <c r="M321" s="154" t="str">
        <f t="shared" si="21"/>
        <v>SERVICE EXTERIEUR</v>
      </c>
      <c r="N321" s="155">
        <f>+IF(OR($Q321=Parametres!$G$2,$Q321=Parametres!$G$3),I321,C321)</f>
        <v>43984.54</v>
      </c>
      <c r="O321" s="1122">
        <f>+IF(OR($Q321=Parametres!$G$2,$Q321=Parametres!$G$3),J321,D321)</f>
        <v>6768.76</v>
      </c>
      <c r="P321" s="155">
        <f>+IF(OR($Q321=Parametres!$G$2,$Q321=Parametres!$G$3),K321,E321)</f>
        <v>50753.3</v>
      </c>
      <c r="Q321" s="154" t="str">
        <f t="shared" si="22"/>
        <v>7-Dépenses</v>
      </c>
      <c r="R321" s="153" t="str">
        <f t="shared" si="23"/>
        <v>6159</v>
      </c>
      <c r="S321" s="154">
        <f t="shared" si="24"/>
        <v>0</v>
      </c>
      <c r="T321" s="156" t="str">
        <f>+VLOOKUP($L321,Data_Validation!$A:$D,1,0)</f>
        <v>6159</v>
      </c>
      <c r="U321" s="156" t="str">
        <f>+VLOOKUP($L321,Data_Validation!$A:$D,3,0)</f>
        <v>Véhicules neufs</v>
      </c>
      <c r="V321" s="156" t="str">
        <f>+VLOOKUP($L321,Data_Validation!$A:$D,4,0)</f>
        <v>Services extérieurs</v>
      </c>
      <c r="W321" s="156" t="str">
        <f>+VLOOKUP($L321,Data_Validation!$A:$E,5,0)</f>
        <v>$</v>
      </c>
      <c r="X321" s="156">
        <f>+VLOOKUP($L321,Data_Validation!$A:$F,6,0)</f>
        <v>0</v>
      </c>
    </row>
    <row r="322" spans="1:24" ht="15.75" hidden="1" customHeight="1">
      <c r="A322" s="1147" t="s">
        <v>1333</v>
      </c>
      <c r="B322" s="1147" t="s">
        <v>2653</v>
      </c>
      <c r="C322" s="1149">
        <v>8538.08</v>
      </c>
      <c r="D322" s="1149">
        <v>1380.64</v>
      </c>
      <c r="E322" s="1149">
        <v>9918.7199999999993</v>
      </c>
      <c r="F322" s="1147" t="s">
        <v>401</v>
      </c>
      <c r="G322" s="1147" t="s">
        <v>2653</v>
      </c>
      <c r="H322" s="948"/>
      <c r="I322" s="948"/>
      <c r="J322" s="948"/>
      <c r="K322" s="948"/>
      <c r="L322" s="153" t="str">
        <f t="shared" ref="L322:L385" si="25">+B322</f>
        <v>6161</v>
      </c>
      <c r="M322" s="154" t="str">
        <f t="shared" ref="M322:M385" si="26">+A322</f>
        <v>DEPRECIATION EQUIP. &amp; FIXTURES</v>
      </c>
      <c r="N322" s="155">
        <f>+IF(OR($Q322=Parametres!$G$2,$Q322=Parametres!$G$3),I322,C322)</f>
        <v>8538.08</v>
      </c>
      <c r="O322" s="1120">
        <f>+IF(OR($Q322=Parametres!$G$2,$Q322=Parametres!$G$3),J322,D322)</f>
        <v>1380.64</v>
      </c>
      <c r="P322" s="155">
        <f>+IF(OR($Q322=Parametres!$G$2,$Q322=Parametres!$G$3),K322,E322)</f>
        <v>9918.7199999999993</v>
      </c>
      <c r="Q322" s="154" t="str">
        <f t="shared" ref="Q322:Q385" si="27">+F322</f>
        <v>7-Dépenses</v>
      </c>
      <c r="R322" s="153" t="str">
        <f t="shared" ref="R322:R385" si="28">+G322</f>
        <v>6161</v>
      </c>
      <c r="S322" s="154">
        <f t="shared" ref="S322:S385" si="29">+H322</f>
        <v>0</v>
      </c>
      <c r="T322" s="156" t="str">
        <f>+VLOOKUP($L322,Data_Validation!$A:$D,1,0)</f>
        <v>6161</v>
      </c>
      <c r="U322" s="156" t="str">
        <f>+VLOOKUP($L322,Data_Validation!$A:$D,3,0)</f>
        <v>Véhicules neufs</v>
      </c>
      <c r="V322" s="156" t="str">
        <f>+VLOOKUP($L322,Data_Validation!$A:$D,4,0)</f>
        <v>Amortissement</v>
      </c>
      <c r="W322" s="156" t="str">
        <f>+VLOOKUP($L322,Data_Validation!$A:$E,5,0)</f>
        <v>$</v>
      </c>
      <c r="X322" s="156">
        <f>+VLOOKUP($L322,Data_Validation!$A:$F,6,0)</f>
        <v>0</v>
      </c>
    </row>
    <row r="323" spans="1:24" ht="15" hidden="1" customHeight="1">
      <c r="A323" s="1147" t="s">
        <v>1332</v>
      </c>
      <c r="B323" s="1147" t="s">
        <v>2604</v>
      </c>
      <c r="C323" s="1149">
        <v>4343.2299999999996</v>
      </c>
      <c r="D323" s="1149">
        <v>557.6</v>
      </c>
      <c r="E323" s="1149">
        <v>4900.83</v>
      </c>
      <c r="F323" s="1147" t="s">
        <v>401</v>
      </c>
      <c r="G323" s="1147" t="s">
        <v>2604</v>
      </c>
      <c r="H323" s="1118"/>
      <c r="I323" s="1119"/>
      <c r="J323" s="1119"/>
      <c r="K323" s="1119"/>
      <c r="L323" s="153" t="str">
        <f t="shared" si="25"/>
        <v>6181</v>
      </c>
      <c r="M323" s="154" t="str">
        <f t="shared" si="26"/>
        <v>ELECTRICITE CHAUFFAGE</v>
      </c>
      <c r="N323" s="155">
        <f>+IF(OR($Q323=Parametres!$G$2,$Q323=Parametres!$G$3),I323,C323)</f>
        <v>4343.2299999999996</v>
      </c>
      <c r="O323" s="1120">
        <f>+IF(OR($Q323=Parametres!$G$2,$Q323=Parametres!$G$3),J323,D323)</f>
        <v>557.6</v>
      </c>
      <c r="P323" s="155">
        <f>+IF(OR($Q323=Parametres!$G$2,$Q323=Parametres!$G$3),K323,E323)</f>
        <v>4900.83</v>
      </c>
      <c r="Q323" s="154" t="str">
        <f t="shared" si="27"/>
        <v>7-Dépenses</v>
      </c>
      <c r="R323" s="153" t="str">
        <f t="shared" si="28"/>
        <v>6181</v>
      </c>
      <c r="S323" s="154">
        <f t="shared" si="29"/>
        <v>0</v>
      </c>
      <c r="T323" s="156" t="str">
        <f>+VLOOKUP($L323,Data_Validation!$A:$D,1,0)</f>
        <v>6181</v>
      </c>
      <c r="U323" s="156" t="str">
        <f>+VLOOKUP($L323,Data_Validation!$A:$D,3,0)</f>
        <v>Véhicules neufs</v>
      </c>
      <c r="V323" s="156" t="str">
        <f>+VLOOKUP($L323,Data_Validation!$A:$D,4,0)</f>
        <v>Chauffage, éclairage</v>
      </c>
      <c r="W323" s="156" t="str">
        <f>+VLOOKUP($L323,Data_Validation!$A:$E,5,0)</f>
        <v>$</v>
      </c>
      <c r="X323" s="156">
        <f>+VLOOKUP($L323,Data_Validation!$A:$F,6,0)</f>
        <v>0</v>
      </c>
    </row>
    <row r="324" spans="1:24" ht="15" hidden="1" customHeight="1">
      <c r="A324" s="1147" t="s">
        <v>1469</v>
      </c>
      <c r="B324" s="1147" t="s">
        <v>2709</v>
      </c>
      <c r="C324" s="1149">
        <v>49920</v>
      </c>
      <c r="D324" s="1149">
        <v>8320</v>
      </c>
      <c r="E324" s="1149">
        <v>58240</v>
      </c>
      <c r="F324" s="1147" t="s">
        <v>401</v>
      </c>
      <c r="G324" s="1147" t="s">
        <v>2709</v>
      </c>
      <c r="H324" s="1118"/>
      <c r="I324" s="1126"/>
      <c r="J324" s="1118"/>
      <c r="K324" s="1126"/>
      <c r="L324" s="153" t="str">
        <f t="shared" si="25"/>
        <v>6182</v>
      </c>
      <c r="M324" s="154" t="str">
        <f t="shared" si="26"/>
        <v>LOYER NEUFS</v>
      </c>
      <c r="N324" s="155">
        <f>+IF(OR($Q324=Parametres!$G$2,$Q324=Parametres!$G$3),I324,C324)</f>
        <v>49920</v>
      </c>
      <c r="O324" s="1122">
        <f>+IF(OR($Q324=Parametres!$G$2,$Q324=Parametres!$G$3),J324,D324)</f>
        <v>8320</v>
      </c>
      <c r="P324" s="155">
        <f>+IF(OR($Q324=Parametres!$G$2,$Q324=Parametres!$G$3),K324,E324)</f>
        <v>58240</v>
      </c>
      <c r="Q324" s="154" t="str">
        <f t="shared" si="27"/>
        <v>7-Dépenses</v>
      </c>
      <c r="R324" s="153" t="str">
        <f t="shared" si="28"/>
        <v>6182</v>
      </c>
      <c r="S324" s="154">
        <f t="shared" si="29"/>
        <v>0</v>
      </c>
      <c r="T324" s="156" t="str">
        <f>+VLOOKUP($L324,Data_Validation!$A:$D,1,0)</f>
        <v>6182</v>
      </c>
      <c r="U324" s="156" t="str">
        <f>+VLOOKUP($L324,Data_Validation!$A:$D,3,0)</f>
        <v>Véhicules neufs</v>
      </c>
      <c r="V324" s="156" t="str">
        <f>+VLOOKUP($L324,Data_Validation!$A:$D,4,0)</f>
        <v>Loyer</v>
      </c>
      <c r="W324" s="156" t="str">
        <f>+VLOOKUP($L324,Data_Validation!$A:$E,5,0)</f>
        <v>$</v>
      </c>
      <c r="X324" s="156">
        <f>+VLOOKUP($L324,Data_Validation!$A:$F,6,0)</f>
        <v>0</v>
      </c>
    </row>
    <row r="325" spans="1:24" ht="15" hidden="1" customHeight="1">
      <c r="A325" s="1147" t="s">
        <v>1366</v>
      </c>
      <c r="B325" s="1147" t="s">
        <v>2594</v>
      </c>
      <c r="C325" s="1149">
        <v>7119.6</v>
      </c>
      <c r="D325" s="1149">
        <v>1186.5999999999999</v>
      </c>
      <c r="E325" s="1149">
        <v>8306.2000000000007</v>
      </c>
      <c r="F325" s="1147" t="s">
        <v>401</v>
      </c>
      <c r="G325" s="1147" t="s">
        <v>2594</v>
      </c>
      <c r="H325" s="1118"/>
      <c r="I325" s="1126"/>
      <c r="J325" s="1118"/>
      <c r="K325" s="1126"/>
      <c r="L325" s="153" t="str">
        <f t="shared" si="25"/>
        <v>6186</v>
      </c>
      <c r="M325" s="154" t="str">
        <f t="shared" si="26"/>
        <v>ASSURANCE BATIMENT</v>
      </c>
      <c r="N325" s="155">
        <f>+IF(OR($Q325=Parametres!$G$2,$Q325=Parametres!$G$3),I325,C325)</f>
        <v>7119.6</v>
      </c>
      <c r="O325" s="1120">
        <f>+IF(OR($Q325=Parametres!$G$2,$Q325=Parametres!$G$3),J325,D325)</f>
        <v>1186.5999999999999</v>
      </c>
      <c r="P325" s="155">
        <f>+IF(OR($Q325=Parametres!$G$2,$Q325=Parametres!$G$3),K325,E325)</f>
        <v>8306.2000000000007</v>
      </c>
      <c r="Q325" s="154" t="str">
        <f t="shared" si="27"/>
        <v>7-Dépenses</v>
      </c>
      <c r="R325" s="153" t="str">
        <f t="shared" si="28"/>
        <v>6186</v>
      </c>
      <c r="S325" s="154">
        <f t="shared" si="29"/>
        <v>0</v>
      </c>
      <c r="T325" s="156" t="str">
        <f>+VLOOKUP($L325,Data_Validation!$A:$D,1,0)</f>
        <v>6186</v>
      </c>
      <c r="U325" s="156" t="str">
        <f>+VLOOKUP($L325,Data_Validation!$A:$D,3,0)</f>
        <v>Véhicules neufs</v>
      </c>
      <c r="V325" s="156" t="str">
        <f>+VLOOKUP($L325,Data_Validation!$A:$D,4,0)</f>
        <v>Assurances</v>
      </c>
      <c r="W325" s="156" t="str">
        <f>+VLOOKUP($L325,Data_Validation!$A:$E,5,0)</f>
        <v>$</v>
      </c>
      <c r="X325" s="156">
        <f>+VLOOKUP($L325,Data_Validation!$A:$F,6,0)</f>
        <v>0</v>
      </c>
    </row>
    <row r="326" spans="1:24" ht="15" hidden="1" customHeight="1">
      <c r="A326" s="1147" t="s">
        <v>1362</v>
      </c>
      <c r="B326" s="1147" t="s">
        <v>2614</v>
      </c>
      <c r="C326" s="1149">
        <v>9235.2000000000007</v>
      </c>
      <c r="D326" s="1149">
        <v>1539.2</v>
      </c>
      <c r="E326" s="1149">
        <v>10774.4</v>
      </c>
      <c r="F326" s="1147" t="s">
        <v>401</v>
      </c>
      <c r="G326" s="1147" t="s">
        <v>2614</v>
      </c>
      <c r="H326" s="1118"/>
      <c r="I326" s="1119"/>
      <c r="J326" s="1119"/>
      <c r="K326" s="1119"/>
      <c r="L326" s="153" t="str">
        <f t="shared" si="25"/>
        <v>6187</v>
      </c>
      <c r="M326" s="154" t="str">
        <f t="shared" si="26"/>
        <v>TAXE SUR PROPRIETE</v>
      </c>
      <c r="N326" s="155">
        <f>+IF(OR($Q326=Parametres!$G$2,$Q326=Parametres!$G$3),I326,C326)</f>
        <v>9235.2000000000007</v>
      </c>
      <c r="O326" s="1120">
        <f>+IF(OR($Q326=Parametres!$G$2,$Q326=Parametres!$G$3),J326,D326)</f>
        <v>1539.2</v>
      </c>
      <c r="P326" s="155">
        <f>+IF(OR($Q326=Parametres!$G$2,$Q326=Parametres!$G$3),K326,E326)</f>
        <v>10774.4</v>
      </c>
      <c r="Q326" s="154" t="str">
        <f t="shared" si="27"/>
        <v>7-Dépenses</v>
      </c>
      <c r="R326" s="153" t="str">
        <f t="shared" si="28"/>
        <v>6187</v>
      </c>
      <c r="S326" s="154">
        <f t="shared" si="29"/>
        <v>0</v>
      </c>
      <c r="T326" s="156" t="str">
        <f>+VLOOKUP($L326,Data_Validation!$A:$D,1,0)</f>
        <v>6187</v>
      </c>
      <c r="U326" s="156" t="str">
        <f>+VLOOKUP($L326,Data_Validation!$A:$D,3,0)</f>
        <v>Véhicules neufs</v>
      </c>
      <c r="V326" s="156" t="str">
        <f>+VLOOKUP($L326,Data_Validation!$A:$D,4,0)</f>
        <v>Taxes foncières</v>
      </c>
      <c r="W326" s="156" t="str">
        <f>+VLOOKUP($L326,Data_Validation!$A:$E,5,0)</f>
        <v>$</v>
      </c>
      <c r="X326" s="156">
        <f>+VLOOKUP($L326,Data_Validation!$A:$F,6,0)</f>
        <v>0</v>
      </c>
    </row>
    <row r="327" spans="1:24" ht="15.75" hidden="1" customHeight="1">
      <c r="A327" s="1147" t="s">
        <v>1296</v>
      </c>
      <c r="B327" s="1147" t="s">
        <v>2597</v>
      </c>
      <c r="C327" s="1149">
        <v>6144</v>
      </c>
      <c r="D327" s="1149">
        <v>1024</v>
      </c>
      <c r="E327" s="1149">
        <v>7168</v>
      </c>
      <c r="F327" s="1147" t="s">
        <v>401</v>
      </c>
      <c r="G327" s="1147" t="s">
        <v>2597</v>
      </c>
      <c r="H327" s="150"/>
      <c r="I327" s="151"/>
      <c r="J327" s="151"/>
      <c r="K327" s="151"/>
      <c r="L327" s="153" t="str">
        <f t="shared" si="25"/>
        <v>6193</v>
      </c>
      <c r="M327" s="154" t="str">
        <f t="shared" si="26"/>
        <v>TAXES AUTRES PERMIS LICENCE</v>
      </c>
      <c r="N327" s="155">
        <f>+IF(OR($Q327=Parametres!$G$2,$Q327=Parametres!$G$3),I327,C327)</f>
        <v>6144</v>
      </c>
      <c r="O327" s="1122">
        <f>+IF(OR($Q327=Parametres!$G$2,$Q327=Parametres!$G$3),J327,D327)</f>
        <v>1024</v>
      </c>
      <c r="P327" s="155">
        <f>+IF(OR($Q327=Parametres!$G$2,$Q327=Parametres!$G$3),K327,E327)</f>
        <v>7168</v>
      </c>
      <c r="Q327" s="154" t="str">
        <f t="shared" si="27"/>
        <v>7-Dépenses</v>
      </c>
      <c r="R327" s="153" t="str">
        <f t="shared" si="28"/>
        <v>6193</v>
      </c>
      <c r="S327" s="154">
        <f t="shared" si="29"/>
        <v>0</v>
      </c>
      <c r="T327" s="156" t="str">
        <f>+VLOOKUP($L327,Data_Validation!$A:$D,1,0)</f>
        <v>6193</v>
      </c>
      <c r="U327" s="156" t="str">
        <f>+VLOOKUP($L327,Data_Validation!$A:$D,3,0)</f>
        <v>Véhicules neufs</v>
      </c>
      <c r="V327" s="156" t="str">
        <f>+VLOOKUP($L327,Data_Validation!$A:$D,4,0)</f>
        <v>Taxes d`affaires</v>
      </c>
      <c r="W327" s="156" t="str">
        <f>+VLOOKUP($L327,Data_Validation!$A:$E,5,0)</f>
        <v>$</v>
      </c>
      <c r="X327" s="156">
        <f>+VLOOKUP($L327,Data_Validation!$A:$F,6,0)</f>
        <v>0</v>
      </c>
    </row>
    <row r="328" spans="1:24" ht="15" hidden="1" customHeight="1">
      <c r="A328" s="1147" t="s">
        <v>1395</v>
      </c>
      <c r="B328" s="1147" t="s">
        <v>2635</v>
      </c>
      <c r="C328" s="1149">
        <v>12509.68</v>
      </c>
      <c r="D328" s="1149">
        <v>1989.47</v>
      </c>
      <c r="E328" s="1149">
        <v>14499.15</v>
      </c>
      <c r="F328" s="1147" t="s">
        <v>401</v>
      </c>
      <c r="G328" s="1147" t="s">
        <v>2635</v>
      </c>
      <c r="H328" s="150"/>
      <c r="I328" s="151"/>
      <c r="J328" s="151"/>
      <c r="K328" s="151"/>
      <c r="L328" s="153" t="str">
        <f t="shared" si="25"/>
        <v>6194</v>
      </c>
      <c r="M328" s="154" t="str">
        <f t="shared" si="26"/>
        <v>HONORAIRES PROFESSIONNELS</v>
      </c>
      <c r="N328" s="155">
        <f>+IF(OR($Q328=Parametres!$G$2,$Q328=Parametres!$G$3),I328,C328)</f>
        <v>12509.68</v>
      </c>
      <c r="O328" s="1122">
        <f>+IF(OR($Q328=Parametres!$G$2,$Q328=Parametres!$G$3),J328,D328)</f>
        <v>1989.47</v>
      </c>
      <c r="P328" s="155">
        <f>+IF(OR($Q328=Parametres!$G$2,$Q328=Parametres!$G$3),K328,E328)</f>
        <v>14499.15</v>
      </c>
      <c r="Q328" s="154" t="str">
        <f t="shared" si="27"/>
        <v>7-Dépenses</v>
      </c>
      <c r="R328" s="153" t="str">
        <f t="shared" si="28"/>
        <v>6194</v>
      </c>
      <c r="S328" s="154">
        <f t="shared" si="29"/>
        <v>0</v>
      </c>
      <c r="T328" s="156" t="str">
        <f>+VLOOKUP($L328,Data_Validation!$A:$D,1,0)</f>
        <v>6194</v>
      </c>
      <c r="U328" s="156" t="str">
        <f>+VLOOKUP($L328,Data_Validation!$A:$D,3,0)</f>
        <v>Véhicules neufs</v>
      </c>
      <c r="V328" s="156" t="str">
        <f>+VLOOKUP($L328,Data_Validation!$A:$D,4,0)</f>
        <v>Honoraires</v>
      </c>
      <c r="W328" s="156" t="str">
        <f>+VLOOKUP($L328,Data_Validation!$A:$E,5,0)</f>
        <v>$</v>
      </c>
      <c r="X328" s="156">
        <f>+VLOOKUP($L328,Data_Validation!$A:$F,6,0)</f>
        <v>0</v>
      </c>
    </row>
    <row r="329" spans="1:24" ht="15" hidden="1" customHeight="1">
      <c r="A329" s="1147" t="s">
        <v>1483</v>
      </c>
      <c r="B329" s="1147" t="s">
        <v>2780</v>
      </c>
      <c r="C329" s="1149">
        <v>92673.26</v>
      </c>
      <c r="D329" s="1149">
        <v>26233.91</v>
      </c>
      <c r="E329" s="1149">
        <v>118907.17</v>
      </c>
      <c r="F329" s="1147" t="s">
        <v>401</v>
      </c>
      <c r="G329" s="1147" t="s">
        <v>2781</v>
      </c>
      <c r="H329" s="1013"/>
      <c r="I329" s="1013"/>
      <c r="J329" s="1013"/>
      <c r="K329" s="1013"/>
      <c r="L329" s="153" t="str">
        <f t="shared" si="25"/>
        <v>6201</v>
      </c>
      <c r="M329" s="154" t="str">
        <f t="shared" si="26"/>
        <v>COMMISSION USAGES</v>
      </c>
      <c r="N329" s="155">
        <f>+IF(OR($Q329=Parametres!$G$2,$Q329=Parametres!$G$3),I329,C329)</f>
        <v>92673.26</v>
      </c>
      <c r="O329" s="1122">
        <f>+IF(OR($Q329=Parametres!$G$2,$Q329=Parametres!$G$3),J329,D329)</f>
        <v>26233.91</v>
      </c>
      <c r="P329" s="155">
        <f>+IF(OR($Q329=Parametres!$G$2,$Q329=Parametres!$G$3),K329,E329)</f>
        <v>118907.17</v>
      </c>
      <c r="Q329" s="154" t="str">
        <f t="shared" si="27"/>
        <v>7-Dépenses</v>
      </c>
      <c r="R329" s="153" t="str">
        <f t="shared" si="28"/>
        <v>6101</v>
      </c>
      <c r="S329" s="154">
        <f t="shared" si="29"/>
        <v>0</v>
      </c>
      <c r="T329" s="156" t="str">
        <f>+VLOOKUP($L329,Data_Validation!$A:$D,1,0)</f>
        <v>6201</v>
      </c>
      <c r="U329" s="156" t="str">
        <f>+VLOOKUP($L329,Data_Validation!$A:$D,3,0)</f>
        <v>Véhicules usagés</v>
      </c>
      <c r="V329" s="156" t="str">
        <f>+VLOOKUP($L329,Data_Validation!$A:$D,4,0)</f>
        <v>Comm. vendeurs</v>
      </c>
      <c r="W329" s="156" t="str">
        <f>+VLOOKUP($L329,Data_Validation!$A:$E,5,0)</f>
        <v>$</v>
      </c>
      <c r="X329" s="156">
        <f>+VLOOKUP($L329,Data_Validation!$A:$F,6,0)</f>
        <v>0</v>
      </c>
    </row>
    <row r="330" spans="1:24" ht="15" hidden="1" customHeight="1">
      <c r="A330" s="1147" t="s">
        <v>1442</v>
      </c>
      <c r="B330" s="1147" t="s">
        <v>2769</v>
      </c>
      <c r="C330" s="1149">
        <v>112964.19</v>
      </c>
      <c r="D330" s="1149">
        <v>31761.74</v>
      </c>
      <c r="E330" s="1149">
        <v>144725.93</v>
      </c>
      <c r="F330" s="1147" t="s">
        <v>401</v>
      </c>
      <c r="G330" s="1147" t="s">
        <v>2770</v>
      </c>
      <c r="H330" s="150"/>
      <c r="I330" s="157"/>
      <c r="J330" s="157"/>
      <c r="K330" s="157"/>
      <c r="L330" s="153" t="str">
        <f t="shared" si="25"/>
        <v>6202</v>
      </c>
      <c r="M330" s="154" t="str">
        <f t="shared" si="26"/>
        <v>RENUMERATION F &amp; I</v>
      </c>
      <c r="N330" s="155">
        <f>+IF(OR($Q330=Parametres!$G$2,$Q330=Parametres!$G$3),I330,C330)</f>
        <v>112964.19</v>
      </c>
      <c r="O330" s="1122">
        <f>+IF(OR($Q330=Parametres!$G$2,$Q330=Parametres!$G$3),J330,D330)</f>
        <v>31761.74</v>
      </c>
      <c r="P330" s="155">
        <f>+IF(OR($Q330=Parametres!$G$2,$Q330=Parametres!$G$3),K330,E330)</f>
        <v>144725.93</v>
      </c>
      <c r="Q330" s="154" t="str">
        <f t="shared" si="27"/>
        <v>7-Dépenses</v>
      </c>
      <c r="R330" s="153" t="str">
        <f t="shared" si="28"/>
        <v>6102</v>
      </c>
      <c r="S330" s="154">
        <f t="shared" si="29"/>
        <v>0</v>
      </c>
      <c r="T330" s="156" t="str">
        <f>+VLOOKUP($L330,Data_Validation!$A:$D,1,0)</f>
        <v>6202</v>
      </c>
      <c r="U330" s="156" t="str">
        <f>+VLOOKUP($L330,Data_Validation!$A:$D,3,0)</f>
        <v>Véhicules usagés</v>
      </c>
      <c r="V330" s="156" t="str">
        <f>+VLOOKUP($L330,Data_Validation!$A:$D,4,0)</f>
        <v>Comm. F&amp;I</v>
      </c>
      <c r="W330" s="156" t="str">
        <f>+VLOOKUP($L330,Data_Validation!$A:$E,5,0)</f>
        <v>$</v>
      </c>
      <c r="X330" s="156">
        <f>+VLOOKUP($L330,Data_Validation!$A:$F,6,0)</f>
        <v>0</v>
      </c>
    </row>
    <row r="331" spans="1:24" ht="15" hidden="1" customHeight="1">
      <c r="A331" s="1147" t="s">
        <v>1230</v>
      </c>
      <c r="B331" s="1147" t="s">
        <v>2751</v>
      </c>
      <c r="C331" s="1149">
        <v>1821.1</v>
      </c>
      <c r="D331" s="1149">
        <v>3747.99</v>
      </c>
      <c r="E331" s="1149">
        <v>5569.09</v>
      </c>
      <c r="F331" s="1147" t="s">
        <v>401</v>
      </c>
      <c r="G331" s="1147" t="s">
        <v>2706</v>
      </c>
      <c r="H331" s="150"/>
      <c r="I331" s="157"/>
      <c r="J331" s="157"/>
      <c r="K331" s="157"/>
      <c r="L331" s="153" t="str">
        <f t="shared" si="25"/>
        <v>6203</v>
      </c>
      <c r="M331" s="154" t="str">
        <f t="shared" si="26"/>
        <v>RELAT. A LA CLIENTELLE &amp; AJUST</v>
      </c>
      <c r="N331" s="155">
        <f>+IF(OR($Q331=Parametres!$G$2,$Q331=Parametres!$G$3),I331,C331)</f>
        <v>1821.1</v>
      </c>
      <c r="O331" s="1122">
        <f>+IF(OR($Q331=Parametres!$G$2,$Q331=Parametres!$G$3),J331,D331)</f>
        <v>3747.99</v>
      </c>
      <c r="P331" s="155">
        <f>+IF(OR($Q331=Parametres!$G$2,$Q331=Parametres!$G$3),K331,E331)</f>
        <v>5569.09</v>
      </c>
      <c r="Q331" s="154" t="str">
        <f t="shared" si="27"/>
        <v>7-Dépenses</v>
      </c>
      <c r="R331" s="153" t="str">
        <f t="shared" si="28"/>
        <v>6103</v>
      </c>
      <c r="S331" s="154">
        <f t="shared" si="29"/>
        <v>0</v>
      </c>
      <c r="T331" s="156" t="str">
        <f>+VLOOKUP($L331,Data_Validation!$A:$D,1,0)</f>
        <v>6203</v>
      </c>
      <c r="U331" s="156" t="str">
        <f>+VLOOKUP($L331,Data_Validation!$A:$D,3,0)</f>
        <v>Véhicules usagés</v>
      </c>
      <c r="V331" s="156" t="str">
        <f>+VLOOKUP($L331,Data_Validation!$A:$D,4,0)</f>
        <v>Service gratuit 1</v>
      </c>
      <c r="W331" s="156" t="str">
        <f>+VLOOKUP($L331,Data_Validation!$A:$E,5,0)</f>
        <v>$</v>
      </c>
      <c r="X331" s="156">
        <f>+VLOOKUP($L331,Data_Validation!$A:$F,6,0)</f>
        <v>0</v>
      </c>
    </row>
    <row r="332" spans="1:24" ht="15" hidden="1" customHeight="1">
      <c r="A332" s="1147" t="s">
        <v>2757</v>
      </c>
      <c r="B332" s="1147" t="s">
        <v>2758</v>
      </c>
      <c r="C332" s="1149">
        <v>20928.919999999998</v>
      </c>
      <c r="D332" s="1149">
        <v>2925.39</v>
      </c>
      <c r="E332" s="1149">
        <v>23854.31</v>
      </c>
      <c r="F332" s="1147" t="s">
        <v>401</v>
      </c>
      <c r="G332" s="1147" t="s">
        <v>2759</v>
      </c>
      <c r="H332" s="150"/>
      <c r="I332" s="157"/>
      <c r="J332" s="157"/>
      <c r="K332" s="157"/>
      <c r="L332" s="153" t="str">
        <f t="shared" si="25"/>
        <v>6206</v>
      </c>
      <c r="M332" s="154" t="str">
        <f t="shared" si="26"/>
        <v>ENTRETIEN DES STOCKS</v>
      </c>
      <c r="N332" s="155">
        <f>+IF(OR($Q332=Parametres!$G$2,$Q332=Parametres!$G$3),I332,C332)</f>
        <v>20928.919999999998</v>
      </c>
      <c r="O332" s="1122">
        <f>+IF(OR($Q332=Parametres!$G$2,$Q332=Parametres!$G$3),J332,D332)</f>
        <v>2925.39</v>
      </c>
      <c r="P332" s="155">
        <f>+IF(OR($Q332=Parametres!$G$2,$Q332=Parametres!$G$3),K332,E332)</f>
        <v>23854.31</v>
      </c>
      <c r="Q332" s="154" t="str">
        <f t="shared" si="27"/>
        <v>7-Dépenses</v>
      </c>
      <c r="R332" s="153" t="str">
        <f t="shared" si="28"/>
        <v>6106</v>
      </c>
      <c r="S332" s="154">
        <f t="shared" si="29"/>
        <v>0</v>
      </c>
      <c r="T332" s="156" t="str">
        <f>+VLOOKUP($L332,Data_Validation!$A:$D,1,0)</f>
        <v>6206</v>
      </c>
      <c r="U332" s="156" t="str">
        <f>+VLOOKUP($L332,Data_Validation!$A:$D,3,0)</f>
        <v>Véhicules usagés</v>
      </c>
      <c r="V332" s="156" t="str">
        <f>+VLOOKUP($L332,Data_Validation!$A:$D,4,0)</f>
        <v>Entretien stock</v>
      </c>
      <c r="W332" s="156" t="str">
        <f>+VLOOKUP($L332,Data_Validation!$A:$E,5,0)</f>
        <v>$</v>
      </c>
      <c r="X332" s="156">
        <f>+VLOOKUP($L332,Data_Validation!$A:$F,6,0)</f>
        <v>0</v>
      </c>
    </row>
    <row r="333" spans="1:24" ht="15.75" hidden="1" customHeight="1">
      <c r="A333" s="1147" t="s">
        <v>938</v>
      </c>
      <c r="B333" s="1147" t="s">
        <v>2611</v>
      </c>
      <c r="C333" s="1149">
        <v>3525.71</v>
      </c>
      <c r="D333" s="1149">
        <v>554.29</v>
      </c>
      <c r="E333" s="1149">
        <v>4080</v>
      </c>
      <c r="F333" s="1147" t="s">
        <v>401</v>
      </c>
      <c r="G333" s="1147" t="s">
        <v>2612</v>
      </c>
      <c r="H333" s="150"/>
      <c r="I333" s="151"/>
      <c r="J333" s="151"/>
      <c r="K333" s="151"/>
      <c r="L333" s="153" t="str">
        <f t="shared" si="25"/>
        <v>6207</v>
      </c>
      <c r="M333" s="154" t="str">
        <f t="shared" si="26"/>
        <v>INTERET-PLAN DE FINANCEMENT</v>
      </c>
      <c r="N333" s="155">
        <f>+IF(OR($Q333=Parametres!$G$2,$Q333=Parametres!$G$3),I333,C333)</f>
        <v>3525.71</v>
      </c>
      <c r="O333" s="1122">
        <f>+IF(OR($Q333=Parametres!$G$2,$Q333=Parametres!$G$3),J333,D333)</f>
        <v>554.29</v>
      </c>
      <c r="P333" s="155">
        <f>+IF(OR($Q333=Parametres!$G$2,$Q333=Parametres!$G$3),K333,E333)</f>
        <v>4080</v>
      </c>
      <c r="Q333" s="154" t="str">
        <f t="shared" si="27"/>
        <v>7-Dépenses</v>
      </c>
      <c r="R333" s="153" t="str">
        <f t="shared" si="28"/>
        <v>6107</v>
      </c>
      <c r="S333" s="154">
        <f t="shared" si="29"/>
        <v>0</v>
      </c>
      <c r="T333" s="156" t="str">
        <f>+VLOOKUP($L333,Data_Validation!$A:$D,1,0)</f>
        <v>6207</v>
      </c>
      <c r="U333" s="156" t="str">
        <f>+VLOOKUP($L333,Data_Validation!$A:$D,3,0)</f>
        <v>Véhicules usagés</v>
      </c>
      <c r="V333" s="156" t="str">
        <f>+VLOOKUP($L333,Data_Validation!$A:$D,4,0)</f>
        <v>Intérêt de gros</v>
      </c>
      <c r="W333" s="156" t="str">
        <f>+VLOOKUP($L333,Data_Validation!$A:$E,5,0)</f>
        <v>$</v>
      </c>
      <c r="X333" s="156">
        <f>+VLOOKUP($L333,Data_Validation!$A:$F,6,0)</f>
        <v>0</v>
      </c>
    </row>
    <row r="334" spans="1:24" ht="15.75" hidden="1" customHeight="1">
      <c r="A334" s="1147" t="s">
        <v>1407</v>
      </c>
      <c r="B334" s="1147" t="s">
        <v>2695</v>
      </c>
      <c r="C334" s="1149">
        <v>13535.02</v>
      </c>
      <c r="D334" s="1149">
        <v>2466.81</v>
      </c>
      <c r="E334" s="1149">
        <v>16001.83</v>
      </c>
      <c r="F334" s="1147" t="s">
        <v>401</v>
      </c>
      <c r="G334" s="1147" t="s">
        <v>2696</v>
      </c>
      <c r="H334" s="150"/>
      <c r="I334" s="157"/>
      <c r="J334" s="157"/>
      <c r="K334" s="157"/>
      <c r="L334" s="153" t="str">
        <f t="shared" si="25"/>
        <v>6208</v>
      </c>
      <c r="M334" s="154" t="str">
        <f t="shared" si="26"/>
        <v>FRAIS DE LIVRAISON</v>
      </c>
      <c r="N334" s="155">
        <f>+IF(OR($Q334=Parametres!$G$2,$Q334=Parametres!$G$3),I334,C334)</f>
        <v>13535.02</v>
      </c>
      <c r="O334" s="1122">
        <f>+IF(OR($Q334=Parametres!$G$2,$Q334=Parametres!$G$3),J334,D334)</f>
        <v>2466.81</v>
      </c>
      <c r="P334" s="155">
        <f>+IF(OR($Q334=Parametres!$G$2,$Q334=Parametres!$G$3),K334,E334)</f>
        <v>16001.83</v>
      </c>
      <c r="Q334" s="154" t="str">
        <f t="shared" si="27"/>
        <v>7-Dépenses</v>
      </c>
      <c r="R334" s="153" t="str">
        <f t="shared" si="28"/>
        <v>6108</v>
      </c>
      <c r="S334" s="154">
        <f t="shared" si="29"/>
        <v>0</v>
      </c>
      <c r="T334" s="156" t="str">
        <f>+VLOOKUP($L334,Data_Validation!$A:$D,1,0)</f>
        <v>6208</v>
      </c>
      <c r="U334" s="156" t="str">
        <f>+VLOOKUP($L334,Data_Validation!$A:$D,3,0)</f>
        <v>Véhicules usagés</v>
      </c>
      <c r="V334" s="156" t="str">
        <f>+VLOOKUP($L334,Data_Validation!$A:$D,4,0)</f>
        <v>Frais de livraison</v>
      </c>
      <c r="W334" s="156" t="str">
        <f>+VLOOKUP($L334,Data_Validation!$A:$E,5,0)</f>
        <v>$</v>
      </c>
      <c r="X334" s="156">
        <f>+VLOOKUP($L334,Data_Validation!$A:$F,6,0)</f>
        <v>0</v>
      </c>
    </row>
    <row r="335" spans="1:24" ht="15" hidden="1" customHeight="1">
      <c r="A335" s="1147" t="s">
        <v>1374</v>
      </c>
      <c r="B335" s="1147" t="s">
        <v>2774</v>
      </c>
      <c r="C335" s="1149">
        <v>40918.46</v>
      </c>
      <c r="D335" s="1149">
        <v>5086.92</v>
      </c>
      <c r="E335" s="1149">
        <v>46005.38</v>
      </c>
      <c r="F335" s="1147" t="s">
        <v>401</v>
      </c>
      <c r="G335" s="1147" t="s">
        <v>2113</v>
      </c>
      <c r="H335" s="150"/>
      <c r="I335" s="151"/>
      <c r="J335" s="151"/>
      <c r="K335" s="151"/>
      <c r="L335" s="153" t="str">
        <f t="shared" si="25"/>
        <v>6214</v>
      </c>
      <c r="M335" s="154" t="str">
        <f t="shared" si="26"/>
        <v>PUBLICITE</v>
      </c>
      <c r="N335" s="155">
        <f>+IF(OR($Q335=Parametres!$G$2,$Q335=Parametres!$G$3),I335,C335)</f>
        <v>40918.46</v>
      </c>
      <c r="O335" s="1122">
        <f>+IF(OR($Q335=Parametres!$G$2,$Q335=Parametres!$G$3),J335,D335)</f>
        <v>5086.92</v>
      </c>
      <c r="P335" s="155">
        <f>+IF(OR($Q335=Parametres!$G$2,$Q335=Parametres!$G$3),K335,E335)</f>
        <v>46005.38</v>
      </c>
      <c r="Q335" s="154" t="str">
        <f t="shared" si="27"/>
        <v>7-Dépenses</v>
      </c>
      <c r="R335" s="153" t="str">
        <f t="shared" si="28"/>
        <v>6114</v>
      </c>
      <c r="S335" s="154">
        <f t="shared" si="29"/>
        <v>0</v>
      </c>
      <c r="T335" s="156" t="str">
        <f>+VLOOKUP($L335,Data_Validation!$A:$D,1,0)</f>
        <v>6214</v>
      </c>
      <c r="U335" s="156" t="str">
        <f>+VLOOKUP($L335,Data_Validation!$A:$D,3,0)</f>
        <v>Véhicules usagés</v>
      </c>
      <c r="V335" s="156" t="str">
        <f>+VLOOKUP($L335,Data_Validation!$A:$D,4,0)</f>
        <v>Publicité 1</v>
      </c>
      <c r="W335" s="156" t="str">
        <f>+VLOOKUP($L335,Data_Validation!$A:$E,5,0)</f>
        <v>$</v>
      </c>
      <c r="X335" s="156">
        <f>+VLOOKUP($L335,Data_Validation!$A:$F,6,0)</f>
        <v>0</v>
      </c>
    </row>
    <row r="336" spans="1:24" ht="15" hidden="1" customHeight="1">
      <c r="A336" s="1147" t="s">
        <v>2148</v>
      </c>
      <c r="B336" s="1147" t="s">
        <v>2149</v>
      </c>
      <c r="C336" s="1149">
        <v>-20200</v>
      </c>
      <c r="D336" s="1149">
        <v>-4100</v>
      </c>
      <c r="E336" s="1149">
        <v>-24300</v>
      </c>
      <c r="F336" s="1147" t="s">
        <v>401</v>
      </c>
      <c r="G336" s="1147" t="s">
        <v>2113</v>
      </c>
      <c r="H336" s="150"/>
      <c r="I336" s="151"/>
      <c r="J336" s="151"/>
      <c r="K336" s="151"/>
      <c r="L336" s="153" t="str">
        <f t="shared" si="25"/>
        <v>6215</v>
      </c>
      <c r="M336" s="154" t="str">
        <f t="shared" si="26"/>
        <v>CREDIT PUBLICITE USAGES</v>
      </c>
      <c r="N336" s="155">
        <f>+IF(OR($Q336=Parametres!$G$2,$Q336=Parametres!$G$3),I336,C336)</f>
        <v>-20200</v>
      </c>
      <c r="O336" s="1122">
        <f>+IF(OR($Q336=Parametres!$G$2,$Q336=Parametres!$G$3),J336,D336)</f>
        <v>-4100</v>
      </c>
      <c r="P336" s="155">
        <f>+IF(OR($Q336=Parametres!$G$2,$Q336=Parametres!$G$3),K336,E336)</f>
        <v>-24300</v>
      </c>
      <c r="Q336" s="154" t="str">
        <f t="shared" si="27"/>
        <v>7-Dépenses</v>
      </c>
      <c r="R336" s="153" t="str">
        <f t="shared" si="28"/>
        <v>6114</v>
      </c>
      <c r="S336" s="154">
        <f t="shared" si="29"/>
        <v>0</v>
      </c>
      <c r="T336" s="156" t="str">
        <f>+VLOOKUP($L336,Data_Validation!$A:$D,1,0)</f>
        <v>6215</v>
      </c>
      <c r="U336" s="156" t="str">
        <f>+VLOOKUP($L336,Data_Validation!$A:$D,3,0)</f>
        <v>Véhicules usagés</v>
      </c>
      <c r="V336" s="156" t="str">
        <f>+VLOOKUP($L336,Data_Validation!$A:$D,4,0)</f>
        <v>Publicité 1</v>
      </c>
      <c r="W336" s="156" t="str">
        <f>+VLOOKUP($L336,Data_Validation!$A:$E,5,0)</f>
        <v>$</v>
      </c>
      <c r="X336" s="156">
        <f>+VLOOKUP($L336,Data_Validation!$A:$F,6,0)</f>
        <v>0</v>
      </c>
    </row>
    <row r="337" spans="1:24" ht="15" hidden="1" customHeight="1">
      <c r="A337" s="1147" t="s">
        <v>1259</v>
      </c>
      <c r="B337" s="1147" t="s">
        <v>2674</v>
      </c>
      <c r="C337" s="1149">
        <v>1960.7</v>
      </c>
      <c r="D337" s="1149">
        <v>280.35000000000002</v>
      </c>
      <c r="E337" s="1149">
        <v>2241.0500000000002</v>
      </c>
      <c r="F337" s="1147" t="s">
        <v>401</v>
      </c>
      <c r="G337" s="1147" t="s">
        <v>2648</v>
      </c>
      <c r="H337" s="150"/>
      <c r="I337" s="157"/>
      <c r="J337" s="157"/>
      <c r="K337" s="157"/>
      <c r="L337" s="153" t="str">
        <f t="shared" si="25"/>
        <v>6221</v>
      </c>
      <c r="M337" s="154" t="str">
        <f t="shared" si="26"/>
        <v>SALAIRES - PROPRIETAIRES</v>
      </c>
      <c r="N337" s="155">
        <f>+IF(OR($Q337=Parametres!$G$2,$Q337=Parametres!$G$3),I337,C337)</f>
        <v>1960.7</v>
      </c>
      <c r="O337" s="1122">
        <f>+IF(OR($Q337=Parametres!$G$2,$Q337=Parametres!$G$3),J337,D337)</f>
        <v>280.35000000000002</v>
      </c>
      <c r="P337" s="155">
        <f>+IF(OR($Q337=Parametres!$G$2,$Q337=Parametres!$G$3),K337,E337)</f>
        <v>2241.0500000000002</v>
      </c>
      <c r="Q337" s="154" t="str">
        <f t="shared" si="27"/>
        <v>7-Dépenses</v>
      </c>
      <c r="R337" s="153" t="str">
        <f t="shared" si="28"/>
        <v>6121</v>
      </c>
      <c r="S337" s="154">
        <f t="shared" si="29"/>
        <v>0</v>
      </c>
      <c r="T337" s="156" t="str">
        <f>+VLOOKUP($L337,Data_Validation!$A:$D,1,0)</f>
        <v>6221</v>
      </c>
      <c r="U337" s="156" t="str">
        <f>+VLOOKUP($L337,Data_Validation!$A:$D,3,0)</f>
        <v>Véhicules usagés</v>
      </c>
      <c r="V337" s="156" t="str">
        <f>+VLOOKUP($L337,Data_Validation!$A:$D,4,0)</f>
        <v>Salaires propriétaire</v>
      </c>
      <c r="W337" s="156" t="str">
        <f>+VLOOKUP($L337,Data_Validation!$A:$E,5,0)</f>
        <v>$</v>
      </c>
      <c r="X337" s="156">
        <f>+VLOOKUP($L337,Data_Validation!$A:$F,6,0)</f>
        <v>0</v>
      </c>
    </row>
    <row r="338" spans="1:24" ht="15.75" hidden="1" customHeight="1">
      <c r="A338" s="1147" t="s">
        <v>2624</v>
      </c>
      <c r="B338" s="1147" t="s">
        <v>2748</v>
      </c>
      <c r="C338" s="1149">
        <v>66437.429999999993</v>
      </c>
      <c r="D338" s="1149">
        <v>6815.18</v>
      </c>
      <c r="E338" s="1149">
        <v>73252.61</v>
      </c>
      <c r="F338" s="1147" t="s">
        <v>401</v>
      </c>
      <c r="G338" s="1147" t="s">
        <v>2626</v>
      </c>
      <c r="H338" s="1118"/>
      <c r="I338" s="1118"/>
      <c r="J338" s="1118"/>
      <c r="K338" s="1118"/>
      <c r="L338" s="153" t="str">
        <f t="shared" si="25"/>
        <v>6222</v>
      </c>
      <c r="M338" s="154" t="str">
        <f t="shared" si="26"/>
        <v>SAL SUPERVISION / GERANT</v>
      </c>
      <c r="N338" s="155">
        <f>+IF(OR($Q338=Parametres!$G$2,$Q338=Parametres!$G$3),I338,C338)</f>
        <v>66437.429999999993</v>
      </c>
      <c r="O338" s="1120">
        <f>+IF(OR($Q338=Parametres!$G$2,$Q338=Parametres!$G$3),J338,D338)</f>
        <v>6815.18</v>
      </c>
      <c r="P338" s="155">
        <f>+IF(OR($Q338=Parametres!$G$2,$Q338=Parametres!$G$3),K338,E338)</f>
        <v>73252.61</v>
      </c>
      <c r="Q338" s="154" t="str">
        <f t="shared" si="27"/>
        <v>7-Dépenses</v>
      </c>
      <c r="R338" s="153" t="str">
        <f t="shared" si="28"/>
        <v>6122</v>
      </c>
      <c r="S338" s="154">
        <f t="shared" si="29"/>
        <v>0</v>
      </c>
      <c r="T338" s="156" t="str">
        <f>+VLOOKUP($L338,Data_Validation!$A:$D,1,0)</f>
        <v>6222</v>
      </c>
      <c r="U338" s="156" t="str">
        <f>+VLOOKUP($L338,Data_Validation!$A:$D,3,0)</f>
        <v>Véhicules usagés</v>
      </c>
      <c r="V338" s="156" t="str">
        <f>+VLOOKUP($L338,Data_Validation!$A:$D,4,0)</f>
        <v>Salaires cadres</v>
      </c>
      <c r="W338" s="156" t="str">
        <f>+VLOOKUP($L338,Data_Validation!$A:$E,5,0)</f>
        <v>$</v>
      </c>
      <c r="X338" s="156">
        <f>+VLOOKUP($L338,Data_Validation!$A:$F,6,0)</f>
        <v>0</v>
      </c>
    </row>
    <row r="339" spans="1:24" ht="15" hidden="1" customHeight="1">
      <c r="A339" s="1147" t="s">
        <v>1342</v>
      </c>
      <c r="B339" s="1147" t="s">
        <v>2707</v>
      </c>
      <c r="C339" s="1149">
        <v>12050.67</v>
      </c>
      <c r="D339" s="1149">
        <v>1993.99</v>
      </c>
      <c r="E339" s="1149">
        <v>14044.66</v>
      </c>
      <c r="F339" s="1147" t="s">
        <v>401</v>
      </c>
      <c r="G339" s="1147" t="s">
        <v>2679</v>
      </c>
      <c r="H339" s="1118"/>
      <c r="I339" s="1119"/>
      <c r="J339" s="1119"/>
      <c r="K339" s="1119"/>
      <c r="L339" s="153" t="str">
        <f t="shared" si="25"/>
        <v>6223</v>
      </c>
      <c r="M339" s="154" t="str">
        <f t="shared" si="26"/>
        <v>SAL. &amp; RENUM. - CLERICAL</v>
      </c>
      <c r="N339" s="155">
        <f>+IF(OR($Q339=Parametres!$G$2,$Q339=Parametres!$G$3),I339,C339)</f>
        <v>12050.67</v>
      </c>
      <c r="O339" s="1122">
        <f>+IF(OR($Q339=Parametres!$G$2,$Q339=Parametres!$G$3),J339,D339)</f>
        <v>1993.99</v>
      </c>
      <c r="P339" s="155">
        <f>+IF(OR($Q339=Parametres!$G$2,$Q339=Parametres!$G$3),K339,E339)</f>
        <v>14044.66</v>
      </c>
      <c r="Q339" s="154" t="str">
        <f t="shared" si="27"/>
        <v>7-Dépenses</v>
      </c>
      <c r="R339" s="153" t="str">
        <f t="shared" si="28"/>
        <v>6123</v>
      </c>
      <c r="S339" s="154">
        <f t="shared" si="29"/>
        <v>0</v>
      </c>
      <c r="T339" s="156" t="str">
        <f>+VLOOKUP($L339,Data_Validation!$A:$D,1,0)</f>
        <v>6223</v>
      </c>
      <c r="U339" s="156" t="str">
        <f>+VLOOKUP($L339,Data_Validation!$A:$D,3,0)</f>
        <v>Véhicules usagés</v>
      </c>
      <c r="V339" s="156" t="str">
        <f>+VLOOKUP($L339,Data_Validation!$A:$D,4,0)</f>
        <v>Salaires commis</v>
      </c>
      <c r="W339" s="156" t="str">
        <f>+VLOOKUP($L339,Data_Validation!$A:$E,5,0)</f>
        <v>$</v>
      </c>
      <c r="X339" s="156">
        <f>+VLOOKUP($L339,Data_Validation!$A:$F,6,0)</f>
        <v>0</v>
      </c>
    </row>
    <row r="340" spans="1:24" ht="15" hidden="1" customHeight="1">
      <c r="A340" s="1147" t="s">
        <v>1412</v>
      </c>
      <c r="B340" s="1147" t="s">
        <v>2776</v>
      </c>
      <c r="C340" s="1149">
        <v>41575.86</v>
      </c>
      <c r="D340" s="1149">
        <v>8332.5499999999993</v>
      </c>
      <c r="E340" s="1149">
        <v>49908.41</v>
      </c>
      <c r="F340" s="1147" t="s">
        <v>401</v>
      </c>
      <c r="G340" s="1147" t="s">
        <v>2735</v>
      </c>
      <c r="H340" s="1118"/>
      <c r="I340" s="1118"/>
      <c r="J340" s="1118"/>
      <c r="K340" s="1118"/>
      <c r="L340" s="153" t="str">
        <f t="shared" si="25"/>
        <v>6224</v>
      </c>
      <c r="M340" s="154" t="str">
        <f t="shared" si="26"/>
        <v>SALAIRE &amp; RENUM. - AUTRES</v>
      </c>
      <c r="N340" s="155">
        <f>+IF(OR($Q340=Parametres!$G$2,$Q340=Parametres!$G$3),I340,C340)</f>
        <v>41575.86</v>
      </c>
      <c r="O340" s="1120">
        <f>+IF(OR($Q340=Parametres!$G$2,$Q340=Parametres!$G$3),J340,D340)</f>
        <v>8332.5499999999993</v>
      </c>
      <c r="P340" s="155">
        <f>+IF(OR($Q340=Parametres!$G$2,$Q340=Parametres!$G$3),K340,E340)</f>
        <v>49908.41</v>
      </c>
      <c r="Q340" s="154" t="str">
        <f t="shared" si="27"/>
        <v>7-Dépenses</v>
      </c>
      <c r="R340" s="153" t="str">
        <f t="shared" si="28"/>
        <v>6124</v>
      </c>
      <c r="S340" s="154">
        <f t="shared" si="29"/>
        <v>0</v>
      </c>
      <c r="T340" s="156" t="str">
        <f>+VLOOKUP($L340,Data_Validation!$A:$D,1,0)</f>
        <v>6224</v>
      </c>
      <c r="U340" s="156" t="str">
        <f>+VLOOKUP($L340,Data_Validation!$A:$D,3,0)</f>
        <v>Véhicules usagés</v>
      </c>
      <c r="V340" s="156" t="str">
        <f>+VLOOKUP($L340,Data_Validation!$A:$D,4,0)</f>
        <v>Salaires autres</v>
      </c>
      <c r="W340" s="156" t="str">
        <f>+VLOOKUP($L340,Data_Validation!$A:$E,5,0)</f>
        <v>$</v>
      </c>
      <c r="X340" s="156">
        <f>+VLOOKUP($L340,Data_Validation!$A:$F,6,0)</f>
        <v>0</v>
      </c>
    </row>
    <row r="341" spans="1:24" ht="15" hidden="1" customHeight="1">
      <c r="A341" s="1147" t="s">
        <v>1211</v>
      </c>
      <c r="B341" s="1147" t="s">
        <v>2712</v>
      </c>
      <c r="C341" s="1149">
        <v>20060.09</v>
      </c>
      <c r="D341" s="1149">
        <v>4242.43</v>
      </c>
      <c r="E341" s="1149">
        <v>24302.52</v>
      </c>
      <c r="F341" s="1147" t="s">
        <v>401</v>
      </c>
      <c r="G341" s="1147" t="s">
        <v>2641</v>
      </c>
      <c r="H341" s="1118"/>
      <c r="I341" s="1118"/>
      <c r="J341" s="1118"/>
      <c r="K341" s="1118"/>
      <c r="L341" s="153" t="str">
        <f t="shared" si="25"/>
        <v>6229</v>
      </c>
      <c r="M341" s="154" t="str">
        <f t="shared" si="26"/>
        <v>ABS.,VACANCES &amp; SAL. JOURS FER</v>
      </c>
      <c r="N341" s="155">
        <f>+IF(OR($Q341=Parametres!$G$2,$Q341=Parametres!$G$3),I341,C341)</f>
        <v>20060.09</v>
      </c>
      <c r="O341" s="1123">
        <f>+IF(OR($Q341=Parametres!$G$2,$Q341=Parametres!$G$3),J341,D341)</f>
        <v>4242.43</v>
      </c>
      <c r="P341" s="155">
        <f>+IF(OR($Q341=Parametres!$G$2,$Q341=Parametres!$G$3),K341,E341)</f>
        <v>24302.52</v>
      </c>
      <c r="Q341" s="154" t="str">
        <f t="shared" si="27"/>
        <v>7-Dépenses</v>
      </c>
      <c r="R341" s="153" t="str">
        <f t="shared" si="28"/>
        <v>6129</v>
      </c>
      <c r="S341" s="154">
        <f t="shared" si="29"/>
        <v>0</v>
      </c>
      <c r="T341" s="156" t="str">
        <f>+VLOOKUP($L341,Data_Validation!$A:$D,1,0)</f>
        <v>6229</v>
      </c>
      <c r="U341" s="156" t="str">
        <f>+VLOOKUP($L341,Data_Validation!$A:$D,3,0)</f>
        <v>Véhicules usagés</v>
      </c>
      <c r="V341" s="156" t="str">
        <f>+VLOOKUP($L341,Data_Validation!$A:$D,4,0)</f>
        <v>Salaires en absences</v>
      </c>
      <c r="W341" s="156" t="str">
        <f>+VLOOKUP($L341,Data_Validation!$A:$E,5,0)</f>
        <v>$</v>
      </c>
      <c r="X341" s="156">
        <f>+VLOOKUP($L341,Data_Validation!$A:$F,6,0)</f>
        <v>0</v>
      </c>
    </row>
    <row r="342" spans="1:24" ht="15" hidden="1" customHeight="1">
      <c r="A342" s="1147" t="s">
        <v>1252</v>
      </c>
      <c r="B342" s="1147" t="s">
        <v>2697</v>
      </c>
      <c r="C342" s="1149">
        <v>5269.62</v>
      </c>
      <c r="D342" s="1149">
        <v>1502.09</v>
      </c>
      <c r="E342" s="1149">
        <v>6771.71</v>
      </c>
      <c r="F342" s="1147" t="s">
        <v>401</v>
      </c>
      <c r="G342" s="1147" t="s">
        <v>2586</v>
      </c>
      <c r="H342" s="1118"/>
      <c r="I342" s="1119"/>
      <c r="J342" s="1119"/>
      <c r="K342" s="1119"/>
      <c r="L342" s="153" t="str">
        <f t="shared" si="25"/>
        <v>6231</v>
      </c>
      <c r="M342" s="154" t="str">
        <f t="shared" si="26"/>
        <v>CSST</v>
      </c>
      <c r="N342" s="155">
        <f>+IF(OR($Q342=Parametres!$G$2,$Q342=Parametres!$G$3),I342,C342)</f>
        <v>5269.62</v>
      </c>
      <c r="O342" s="1122">
        <f>+IF(OR($Q342=Parametres!$G$2,$Q342=Parametres!$G$3),J342,D342)</f>
        <v>1502.09</v>
      </c>
      <c r="P342" s="155">
        <f>+IF(OR($Q342=Parametres!$G$2,$Q342=Parametres!$G$3),K342,E342)</f>
        <v>6771.71</v>
      </c>
      <c r="Q342" s="154" t="str">
        <f t="shared" si="27"/>
        <v>7-Dépenses</v>
      </c>
      <c r="R342" s="153" t="str">
        <f t="shared" si="28"/>
        <v>6131</v>
      </c>
      <c r="S342" s="154">
        <f t="shared" si="29"/>
        <v>0</v>
      </c>
      <c r="T342" s="156" t="str">
        <f>+VLOOKUP($L342,Data_Validation!$A:$D,1,0)</f>
        <v>6231</v>
      </c>
      <c r="U342" s="156" t="str">
        <f>+VLOOKUP($L342,Data_Validation!$A:$D,3,0)</f>
        <v>Véhicules usagés</v>
      </c>
      <c r="V342" s="156" t="str">
        <f>+VLOOKUP($L342,Data_Validation!$A:$D,4,0)</f>
        <v>Csst</v>
      </c>
      <c r="W342" s="156" t="str">
        <f>+VLOOKUP($L342,Data_Validation!$A:$E,5,0)</f>
        <v>$</v>
      </c>
      <c r="X342" s="156">
        <f>+VLOOKUP($L342,Data_Validation!$A:$F,6,0)</f>
        <v>0</v>
      </c>
    </row>
    <row r="343" spans="1:24" ht="15.75" hidden="1" customHeight="1">
      <c r="A343" s="1147" t="s">
        <v>1283</v>
      </c>
      <c r="B343" s="1147" t="s">
        <v>2717</v>
      </c>
      <c r="C343" s="1149">
        <v>31617.73</v>
      </c>
      <c r="D343" s="1149">
        <v>9012.56</v>
      </c>
      <c r="E343" s="1149">
        <v>40630.29</v>
      </c>
      <c r="F343" s="1147" t="s">
        <v>401</v>
      </c>
      <c r="G343" s="1147" t="s">
        <v>2685</v>
      </c>
      <c r="H343" s="1013"/>
      <c r="I343" s="1013"/>
      <c r="J343" s="1013"/>
      <c r="K343" s="1013"/>
      <c r="L343" s="153" t="str">
        <f t="shared" si="25"/>
        <v>6232</v>
      </c>
      <c r="M343" s="154" t="str">
        <f t="shared" si="26"/>
        <v>RRQ RAMQ AC</v>
      </c>
      <c r="N343" s="155">
        <f>+IF(OR($Q343=Parametres!$G$2,$Q343=Parametres!$G$3),I343,C343)</f>
        <v>31617.73</v>
      </c>
      <c r="O343" s="1122">
        <f>+IF(OR($Q343=Parametres!$G$2,$Q343=Parametres!$G$3),J343,D343)</f>
        <v>9012.56</v>
      </c>
      <c r="P343" s="155">
        <f>+IF(OR($Q343=Parametres!$G$2,$Q343=Parametres!$G$3),K343,E343)</f>
        <v>40630.29</v>
      </c>
      <c r="Q343" s="154" t="str">
        <f t="shared" si="27"/>
        <v>7-Dépenses</v>
      </c>
      <c r="R343" s="153" t="str">
        <f t="shared" si="28"/>
        <v>6132</v>
      </c>
      <c r="S343" s="154">
        <f t="shared" si="29"/>
        <v>0</v>
      </c>
      <c r="T343" s="156" t="str">
        <f>+VLOOKUP($L343,Data_Validation!$A:$D,1,0)</f>
        <v>6232</v>
      </c>
      <c r="U343" s="156" t="str">
        <f>+VLOOKUP($L343,Data_Validation!$A:$D,3,0)</f>
        <v>Véhicules usagés</v>
      </c>
      <c r="V343" s="156" t="str">
        <f>+VLOOKUP($L343,Data_Validation!$A:$D,4,0)</f>
        <v>Déduction à la source</v>
      </c>
      <c r="W343" s="156" t="str">
        <f>+VLOOKUP($L343,Data_Validation!$A:$E,5,0)</f>
        <v>$</v>
      </c>
      <c r="X343" s="156">
        <f>+VLOOKUP($L343,Data_Validation!$A:$F,6,0)</f>
        <v>0</v>
      </c>
    </row>
    <row r="344" spans="1:24" ht="15" hidden="1" customHeight="1">
      <c r="A344" s="1147" t="s">
        <v>1305</v>
      </c>
      <c r="B344" s="1147" t="s">
        <v>2719</v>
      </c>
      <c r="C344" s="1149">
        <v>22659.37</v>
      </c>
      <c r="D344" s="1149">
        <v>6459</v>
      </c>
      <c r="E344" s="1149">
        <v>29118.37</v>
      </c>
      <c r="F344" s="1147" t="s">
        <v>401</v>
      </c>
      <c r="G344" s="1147" t="s">
        <v>2694</v>
      </c>
      <c r="H344" s="1118"/>
      <c r="I344" s="1118"/>
      <c r="J344" s="1118"/>
      <c r="K344" s="1118"/>
      <c r="L344" s="153" t="str">
        <f t="shared" si="25"/>
        <v>6239</v>
      </c>
      <c r="M344" s="154" t="str">
        <f t="shared" si="26"/>
        <v>ASSURANCE GROUPE</v>
      </c>
      <c r="N344" s="155">
        <f>+IF(OR($Q344=Parametres!$G$2,$Q344=Parametres!$G$3),I344,C344)</f>
        <v>22659.37</v>
      </c>
      <c r="O344" s="1120">
        <f>+IF(OR($Q344=Parametres!$G$2,$Q344=Parametres!$G$3),J344,D344)</f>
        <v>6459</v>
      </c>
      <c r="P344" s="155">
        <f>+IF(OR($Q344=Parametres!$G$2,$Q344=Parametres!$G$3),K344,E344)</f>
        <v>29118.37</v>
      </c>
      <c r="Q344" s="154" t="str">
        <f t="shared" si="27"/>
        <v>7-Dépenses</v>
      </c>
      <c r="R344" s="153" t="str">
        <f t="shared" si="28"/>
        <v>6139</v>
      </c>
      <c r="S344" s="154">
        <f t="shared" si="29"/>
        <v>0</v>
      </c>
      <c r="T344" s="156" t="str">
        <f>+VLOOKUP($L344,Data_Validation!$A:$D,1,0)</f>
        <v>6239</v>
      </c>
      <c r="U344" s="156" t="str">
        <f>+VLOOKUP($L344,Data_Validation!$A:$D,3,0)</f>
        <v>Véhicules usagés</v>
      </c>
      <c r="V344" s="156" t="str">
        <f>+VLOOKUP($L344,Data_Validation!$A:$D,4,0)</f>
        <v>Bénéfices marginaux</v>
      </c>
      <c r="W344" s="156" t="str">
        <f>+VLOOKUP($L344,Data_Validation!$A:$E,5,0)</f>
        <v>$</v>
      </c>
      <c r="X344" s="156">
        <f>+VLOOKUP($L344,Data_Validation!$A:$F,6,0)</f>
        <v>0</v>
      </c>
    </row>
    <row r="345" spans="1:24" ht="15" hidden="1" customHeight="1">
      <c r="A345" s="1147" t="s">
        <v>1157</v>
      </c>
      <c r="B345" s="1147" t="s">
        <v>2565</v>
      </c>
      <c r="C345" s="1149">
        <v>445.2</v>
      </c>
      <c r="D345" s="1149">
        <v>0</v>
      </c>
      <c r="E345" s="1149">
        <v>445.2</v>
      </c>
      <c r="F345" s="1147" t="s">
        <v>401</v>
      </c>
      <c r="G345" s="1147" t="s">
        <v>2563</v>
      </c>
      <c r="H345" s="1118"/>
      <c r="I345" s="1118"/>
      <c r="J345" s="1118"/>
      <c r="K345" s="1118"/>
      <c r="L345" s="153" t="str">
        <f t="shared" si="25"/>
        <v>6242</v>
      </c>
      <c r="M345" s="154" t="str">
        <f t="shared" si="26"/>
        <v>FOURNITURES &amp; PETITS OUTILS</v>
      </c>
      <c r="N345" s="155">
        <f>+IF(OR($Q345=Parametres!$G$2,$Q345=Parametres!$G$3),I345,C345)</f>
        <v>445.2</v>
      </c>
      <c r="O345" s="1122">
        <f>+IF(OR($Q345=Parametres!$G$2,$Q345=Parametres!$G$3),J345,D345)</f>
        <v>0</v>
      </c>
      <c r="P345" s="155">
        <f>+IF(OR($Q345=Parametres!$G$2,$Q345=Parametres!$G$3),K345,E345)</f>
        <v>445.2</v>
      </c>
      <c r="Q345" s="154" t="str">
        <f t="shared" si="27"/>
        <v>7-Dépenses</v>
      </c>
      <c r="R345" s="153" t="str">
        <f t="shared" si="28"/>
        <v>6142</v>
      </c>
      <c r="S345" s="154">
        <f t="shared" si="29"/>
        <v>0</v>
      </c>
      <c r="T345" s="156" t="str">
        <f>+VLOOKUP($L345,Data_Validation!$A:$D,1,0)</f>
        <v>6242</v>
      </c>
      <c r="U345" s="156" t="str">
        <f>+VLOOKUP($L345,Data_Validation!$A:$D,3,0)</f>
        <v>Véhicules usagés</v>
      </c>
      <c r="V345" s="156" t="str">
        <f>+VLOOKUP($L345,Data_Validation!$A:$D,4,0)</f>
        <v>Fournitures autres</v>
      </c>
      <c r="W345" s="156" t="str">
        <f>+VLOOKUP($L345,Data_Validation!$A:$E,5,0)</f>
        <v>$</v>
      </c>
      <c r="X345" s="156">
        <f>+VLOOKUP($L345,Data_Validation!$A:$F,6,0)</f>
        <v>0</v>
      </c>
    </row>
    <row r="346" spans="1:24" ht="15" hidden="1" customHeight="1">
      <c r="A346" s="1147" t="s">
        <v>934</v>
      </c>
      <c r="B346" s="1147" t="s">
        <v>2564</v>
      </c>
      <c r="C346" s="1149">
        <v>183.72</v>
      </c>
      <c r="D346" s="1149">
        <v>10.62</v>
      </c>
      <c r="E346" s="1149">
        <v>194.34</v>
      </c>
      <c r="F346" s="1147" t="s">
        <v>401</v>
      </c>
      <c r="G346" s="1147" t="s">
        <v>2561</v>
      </c>
      <c r="H346" s="1118"/>
      <c r="I346" s="1118"/>
      <c r="J346" s="1118"/>
      <c r="K346" s="1118"/>
      <c r="L346" s="153" t="str">
        <f t="shared" si="25"/>
        <v>6244</v>
      </c>
      <c r="M346" s="154" t="str">
        <f t="shared" si="26"/>
        <v>FORMATION</v>
      </c>
      <c r="N346" s="155">
        <f>+IF(OR($Q346=Parametres!$G$2,$Q346=Parametres!$G$3),I346,C346)</f>
        <v>183.72</v>
      </c>
      <c r="O346" s="1122">
        <f>+IF(OR($Q346=Parametres!$G$2,$Q346=Parametres!$G$3),J346,D346)</f>
        <v>10.62</v>
      </c>
      <c r="P346" s="155">
        <f>+IF(OR($Q346=Parametres!$G$2,$Q346=Parametres!$G$3),K346,E346)</f>
        <v>194.34</v>
      </c>
      <c r="Q346" s="154" t="str">
        <f t="shared" si="27"/>
        <v>7-Dépenses</v>
      </c>
      <c r="R346" s="153" t="str">
        <f t="shared" si="28"/>
        <v>6144</v>
      </c>
      <c r="S346" s="154">
        <f t="shared" si="29"/>
        <v>0</v>
      </c>
      <c r="T346" s="156" t="str">
        <f>+VLOOKUP($L346,Data_Validation!$A:$D,1,0)</f>
        <v>6244</v>
      </c>
      <c r="U346" s="156" t="str">
        <f>+VLOOKUP($L346,Data_Validation!$A:$D,3,0)</f>
        <v>Véhicules usagés</v>
      </c>
      <c r="V346" s="156" t="str">
        <f>+VLOOKUP($L346,Data_Validation!$A:$D,4,0)</f>
        <v>Formation</v>
      </c>
      <c r="W346" s="156" t="str">
        <f>+VLOOKUP($L346,Data_Validation!$A:$E,5,0)</f>
        <v>$</v>
      </c>
      <c r="X346" s="156">
        <f>+VLOOKUP($L346,Data_Validation!$A:$F,6,0)</f>
        <v>0</v>
      </c>
    </row>
    <row r="347" spans="1:24" ht="15.75" hidden="1" customHeight="1">
      <c r="A347" s="1147" t="s">
        <v>1186</v>
      </c>
      <c r="B347" s="1147" t="s">
        <v>2649</v>
      </c>
      <c r="C347" s="1149">
        <v>-1652.59</v>
      </c>
      <c r="D347" s="1149">
        <v>-540.88</v>
      </c>
      <c r="E347" s="1149">
        <v>-2193.4699999999998</v>
      </c>
      <c r="F347" s="1147" t="s">
        <v>401</v>
      </c>
      <c r="G347" s="1147" t="s">
        <v>2632</v>
      </c>
      <c r="H347" s="1118"/>
      <c r="I347" s="1118"/>
      <c r="J347" s="1118"/>
      <c r="K347" s="1118"/>
      <c r="L347" s="153" t="str">
        <f t="shared" si="25"/>
        <v>6245</v>
      </c>
      <c r="M347" s="154" t="str">
        <f t="shared" si="26"/>
        <v>VEHICULE DE COMPAGNIE - DEPENS</v>
      </c>
      <c r="N347" s="155">
        <f>+IF(OR($Q347=Parametres!$G$2,$Q347=Parametres!$G$3),I347,C347)</f>
        <v>-1652.59</v>
      </c>
      <c r="O347" s="1122">
        <f>+IF(OR($Q347=Parametres!$G$2,$Q347=Parametres!$G$3),J347,D347)</f>
        <v>-540.88</v>
      </c>
      <c r="P347" s="155">
        <f>+IF(OR($Q347=Parametres!$G$2,$Q347=Parametres!$G$3),K347,E347)</f>
        <v>-2193.4699999999998</v>
      </c>
      <c r="Q347" s="154" t="str">
        <f t="shared" si="27"/>
        <v>7-Dépenses</v>
      </c>
      <c r="R347" s="153" t="str">
        <f t="shared" si="28"/>
        <v>6145</v>
      </c>
      <c r="S347" s="154">
        <f t="shared" si="29"/>
        <v>0</v>
      </c>
      <c r="T347" s="156" t="str">
        <f>+VLOOKUP($L347,Data_Validation!$A:$D,1,0)</f>
        <v>6245</v>
      </c>
      <c r="U347" s="156" t="str">
        <f>+VLOOKUP($L347,Data_Validation!$A:$D,3,0)</f>
        <v>Véhicules usagés</v>
      </c>
      <c r="V347" s="156" t="str">
        <f>+VLOOKUP($L347,Data_Validation!$A:$D,4,0)</f>
        <v>Frais véhicules de cie</v>
      </c>
      <c r="W347" s="156" t="str">
        <f>+VLOOKUP($L347,Data_Validation!$A:$E,5,0)</f>
        <v>$</v>
      </c>
      <c r="X347" s="156">
        <f>+VLOOKUP($L347,Data_Validation!$A:$F,6,0)</f>
        <v>0</v>
      </c>
    </row>
    <row r="348" spans="1:24" ht="15" hidden="1" customHeight="1">
      <c r="A348" s="1147" t="s">
        <v>1180</v>
      </c>
      <c r="B348" s="1147" t="s">
        <v>2584</v>
      </c>
      <c r="C348" s="1149">
        <v>366.59</v>
      </c>
      <c r="D348" s="1149">
        <v>125.63</v>
      </c>
      <c r="E348" s="1149">
        <v>492.22</v>
      </c>
      <c r="F348" s="1147" t="s">
        <v>401</v>
      </c>
      <c r="G348" s="1147" t="s">
        <v>2581</v>
      </c>
      <c r="H348" s="1118"/>
      <c r="I348" s="1118"/>
      <c r="J348" s="1118"/>
      <c r="K348" s="1118"/>
      <c r="L348" s="153" t="str">
        <f t="shared" si="25"/>
        <v>6247</v>
      </c>
      <c r="M348" s="154" t="str">
        <f t="shared" si="26"/>
        <v>FRET/EXPRESS/TRANS. PAR CAMION</v>
      </c>
      <c r="N348" s="155">
        <f>+IF(OR($Q348=Parametres!$G$2,$Q348=Parametres!$G$3),I348,C348)</f>
        <v>366.59</v>
      </c>
      <c r="O348" s="1120">
        <f>+IF(OR($Q348=Parametres!$G$2,$Q348=Parametres!$G$3),J348,D348)</f>
        <v>125.63</v>
      </c>
      <c r="P348" s="155">
        <f>+IF(OR($Q348=Parametres!$G$2,$Q348=Parametres!$G$3),K348,E348)</f>
        <v>492.22</v>
      </c>
      <c r="Q348" s="154" t="str">
        <f t="shared" si="27"/>
        <v>7-Dépenses</v>
      </c>
      <c r="R348" s="153" t="str">
        <f t="shared" si="28"/>
        <v>6147</v>
      </c>
      <c r="S348" s="154">
        <f t="shared" si="29"/>
        <v>0</v>
      </c>
      <c r="T348" s="156" t="str">
        <f>+VLOOKUP($L348,Data_Validation!$A:$D,1,0)</f>
        <v>6247</v>
      </c>
      <c r="U348" s="156" t="str">
        <f>+VLOOKUP($L348,Data_Validation!$A:$D,3,0)</f>
        <v>Véhicules usagés</v>
      </c>
      <c r="V348" s="156" t="str">
        <f>+VLOOKUP($L348,Data_Validation!$A:$D,4,0)</f>
        <v>Frais postaux</v>
      </c>
      <c r="W348" s="156" t="str">
        <f>+VLOOKUP($L348,Data_Validation!$A:$E,5,0)</f>
        <v>$</v>
      </c>
      <c r="X348" s="156">
        <f>+VLOOKUP($L348,Data_Validation!$A:$F,6,0)</f>
        <v>0</v>
      </c>
    </row>
    <row r="349" spans="1:24" ht="15" hidden="1" customHeight="1">
      <c r="A349" s="1147" t="s">
        <v>1286</v>
      </c>
      <c r="B349" s="1147" t="s">
        <v>2723</v>
      </c>
      <c r="C349" s="1149">
        <v>11031.78</v>
      </c>
      <c r="D349" s="1149">
        <v>1870.65</v>
      </c>
      <c r="E349" s="1149">
        <v>12902.43</v>
      </c>
      <c r="F349" s="1147" t="s">
        <v>401</v>
      </c>
      <c r="G349" s="1147" t="s">
        <v>2702</v>
      </c>
      <c r="H349" s="1118"/>
      <c r="I349" s="1118"/>
      <c r="J349" s="1118"/>
      <c r="K349" s="1118"/>
      <c r="L349" s="153" t="str">
        <f t="shared" si="25"/>
        <v>6251</v>
      </c>
      <c r="M349" s="154" t="str">
        <f t="shared" si="26"/>
        <v>DEP. DU TRAITEMENT DES DONNEES</v>
      </c>
      <c r="N349" s="155">
        <f>+IF(OR($Q349=Parametres!$G$2,$Q349=Parametres!$G$3),I349,C349)</f>
        <v>11031.78</v>
      </c>
      <c r="O349" s="1122">
        <f>+IF(OR($Q349=Parametres!$G$2,$Q349=Parametres!$G$3),J349,D349)</f>
        <v>1870.65</v>
      </c>
      <c r="P349" s="155">
        <f>+IF(OR($Q349=Parametres!$G$2,$Q349=Parametres!$G$3),K349,E349)</f>
        <v>12902.43</v>
      </c>
      <c r="Q349" s="154" t="str">
        <f t="shared" si="27"/>
        <v>7-Dépenses</v>
      </c>
      <c r="R349" s="153" t="str">
        <f t="shared" si="28"/>
        <v>6151</v>
      </c>
      <c r="S349" s="154">
        <f t="shared" si="29"/>
        <v>0</v>
      </c>
      <c r="T349" s="156" t="str">
        <f>+VLOOKUP($L349,Data_Validation!$A:$D,1,0)</f>
        <v>6251</v>
      </c>
      <c r="U349" s="156" t="str">
        <f>+VLOOKUP($L349,Data_Validation!$A:$D,3,0)</f>
        <v>Véhicules usagés</v>
      </c>
      <c r="V349" s="156" t="str">
        <f>+VLOOKUP($L349,Data_Validation!$A:$D,4,0)</f>
        <v>Informatique</v>
      </c>
      <c r="W349" s="156" t="str">
        <f>+VLOOKUP($L349,Data_Validation!$A:$E,5,0)</f>
        <v>$</v>
      </c>
      <c r="X349" s="156">
        <f>+VLOOKUP($L349,Data_Validation!$A:$F,6,0)</f>
        <v>0</v>
      </c>
    </row>
    <row r="350" spans="1:24" ht="15" hidden="1" customHeight="1">
      <c r="A350" s="1147" t="s">
        <v>1206</v>
      </c>
      <c r="B350" s="1147" t="s">
        <v>2602</v>
      </c>
      <c r="C350" s="1149">
        <v>1505.57</v>
      </c>
      <c r="D350" s="1149">
        <v>175</v>
      </c>
      <c r="E350" s="1149">
        <v>1680.57</v>
      </c>
      <c r="F350" s="1147" t="s">
        <v>401</v>
      </c>
      <c r="G350" s="1147" t="s">
        <v>2588</v>
      </c>
      <c r="H350" s="1118"/>
      <c r="I350" s="1118"/>
      <c r="J350" s="1118"/>
      <c r="K350" s="1118"/>
      <c r="L350" s="153" t="str">
        <f t="shared" si="25"/>
        <v>6252</v>
      </c>
      <c r="M350" s="154" t="str">
        <f t="shared" si="26"/>
        <v>PAPETERIE</v>
      </c>
      <c r="N350" s="155">
        <f>+IF(OR($Q350=Parametres!$G$2,$Q350=Parametres!$G$3),I350,C350)</f>
        <v>1505.57</v>
      </c>
      <c r="O350" s="1123">
        <f>+IF(OR($Q350=Parametres!$G$2,$Q350=Parametres!$G$3),J350,D350)</f>
        <v>175</v>
      </c>
      <c r="P350" s="155">
        <f>+IF(OR($Q350=Parametres!$G$2,$Q350=Parametres!$G$3),K350,E350)</f>
        <v>1680.57</v>
      </c>
      <c r="Q350" s="154" t="str">
        <f t="shared" si="27"/>
        <v>7-Dépenses</v>
      </c>
      <c r="R350" s="153" t="str">
        <f t="shared" si="28"/>
        <v>6152</v>
      </c>
      <c r="S350" s="154">
        <f t="shared" si="29"/>
        <v>0</v>
      </c>
      <c r="T350" s="156" t="str">
        <f>+VLOOKUP($L350,Data_Validation!$A:$D,1,0)</f>
        <v>6252</v>
      </c>
      <c r="U350" s="156" t="str">
        <f>+VLOOKUP($L350,Data_Validation!$A:$D,3,0)</f>
        <v>Véhicules usagés</v>
      </c>
      <c r="V350" s="156" t="str">
        <f>+VLOOKUP($L350,Data_Validation!$A:$D,4,0)</f>
        <v>Papeterie</v>
      </c>
      <c r="W350" s="156" t="str">
        <f>+VLOOKUP($L350,Data_Validation!$A:$E,5,0)</f>
        <v>$</v>
      </c>
      <c r="X350" s="156">
        <f>+VLOOKUP($L350,Data_Validation!$A:$F,6,0)</f>
        <v>0</v>
      </c>
    </row>
    <row r="351" spans="1:24" ht="15" hidden="1" customHeight="1">
      <c r="A351" s="1147" t="s">
        <v>1154</v>
      </c>
      <c r="B351" s="1147" t="s">
        <v>2595</v>
      </c>
      <c r="C351" s="1149">
        <v>473.04</v>
      </c>
      <c r="D351" s="1149">
        <v>33.44</v>
      </c>
      <c r="E351" s="1149">
        <v>506.48</v>
      </c>
      <c r="F351" s="1147" t="s">
        <v>401</v>
      </c>
      <c r="G351" s="1147" t="s">
        <v>2592</v>
      </c>
      <c r="H351" s="1118"/>
      <c r="I351" s="1118"/>
      <c r="J351" s="1118"/>
      <c r="K351" s="1118"/>
      <c r="L351" s="153" t="str">
        <f t="shared" si="25"/>
        <v>6253</v>
      </c>
      <c r="M351" s="154" t="str">
        <f t="shared" si="26"/>
        <v>TELEPHONE ET TELEX</v>
      </c>
      <c r="N351" s="155">
        <f>+IF(OR($Q351=Parametres!$G$2,$Q351=Parametres!$G$3),I351,C351)</f>
        <v>473.04</v>
      </c>
      <c r="O351" s="1122">
        <f>+IF(OR($Q351=Parametres!$G$2,$Q351=Parametres!$G$3),J351,D351)</f>
        <v>33.44</v>
      </c>
      <c r="P351" s="155">
        <f>+IF(OR($Q351=Parametres!$G$2,$Q351=Parametres!$G$3),K351,E351)</f>
        <v>506.48</v>
      </c>
      <c r="Q351" s="154" t="str">
        <f t="shared" si="27"/>
        <v>7-Dépenses</v>
      </c>
      <c r="R351" s="153" t="str">
        <f t="shared" si="28"/>
        <v>6153</v>
      </c>
      <c r="S351" s="154">
        <f t="shared" si="29"/>
        <v>0</v>
      </c>
      <c r="T351" s="156" t="str">
        <f>+VLOOKUP($L351,Data_Validation!$A:$D,1,0)</f>
        <v>6253</v>
      </c>
      <c r="U351" s="156" t="str">
        <f>+VLOOKUP($L351,Data_Validation!$A:$D,3,0)</f>
        <v>Véhicules usagés</v>
      </c>
      <c r="V351" s="156" t="str">
        <f>+VLOOKUP($L351,Data_Validation!$A:$D,4,0)</f>
        <v>Téléphone</v>
      </c>
      <c r="W351" s="156" t="str">
        <f>+VLOOKUP($L351,Data_Validation!$A:$E,5,0)</f>
        <v>$</v>
      </c>
      <c r="X351" s="156">
        <f>+VLOOKUP($L351,Data_Validation!$A:$F,6,0)</f>
        <v>0</v>
      </c>
    </row>
    <row r="352" spans="1:24" ht="15.75" hidden="1" customHeight="1">
      <c r="A352" s="1147" t="s">
        <v>1237</v>
      </c>
      <c r="B352" s="1147" t="s">
        <v>2666</v>
      </c>
      <c r="C352" s="1149">
        <v>1517.66</v>
      </c>
      <c r="D352" s="1149">
        <v>301.39999999999998</v>
      </c>
      <c r="E352" s="1149">
        <v>1819.06</v>
      </c>
      <c r="F352" s="1147" t="s">
        <v>401</v>
      </c>
      <c r="G352" s="1147" t="s">
        <v>2637</v>
      </c>
      <c r="H352" s="1118"/>
      <c r="I352" s="1118"/>
      <c r="J352" s="1118"/>
      <c r="K352" s="1118"/>
      <c r="L352" s="153" t="str">
        <f t="shared" si="25"/>
        <v>6255</v>
      </c>
      <c r="M352" s="154" t="str">
        <f t="shared" si="26"/>
        <v>DEPENSES DIVERS</v>
      </c>
      <c r="N352" s="155">
        <f>+IF(OR($Q352=Parametres!$G$2,$Q352=Parametres!$G$3),I352,C352)</f>
        <v>1517.66</v>
      </c>
      <c r="O352" s="1120">
        <f>+IF(OR($Q352=Parametres!$G$2,$Q352=Parametres!$G$3),J352,D352)</f>
        <v>301.39999999999998</v>
      </c>
      <c r="P352" s="155">
        <f>+IF(OR($Q352=Parametres!$G$2,$Q352=Parametres!$G$3),K352,E352)</f>
        <v>1819.06</v>
      </c>
      <c r="Q352" s="154" t="str">
        <f t="shared" si="27"/>
        <v>7-Dépenses</v>
      </c>
      <c r="R352" s="153" t="str">
        <f t="shared" si="28"/>
        <v>6155</v>
      </c>
      <c r="S352" s="154">
        <f t="shared" si="29"/>
        <v>0</v>
      </c>
      <c r="T352" s="156" t="str">
        <f>+VLOOKUP($L352,Data_Validation!$A:$D,1,0)</f>
        <v>6255</v>
      </c>
      <c r="U352" s="156" t="str">
        <f>+VLOOKUP($L352,Data_Validation!$A:$D,3,0)</f>
        <v>Véhicules usagés</v>
      </c>
      <c r="V352" s="156" t="str">
        <f>+VLOOKUP($L352,Data_Validation!$A:$D,4,0)</f>
        <v>Divers</v>
      </c>
      <c r="W352" s="156" t="str">
        <f>+VLOOKUP($L352,Data_Validation!$A:$E,5,0)</f>
        <v>$</v>
      </c>
      <c r="X352" s="156">
        <f>+VLOOKUP($L352,Data_Validation!$A:$F,6,0)</f>
        <v>0</v>
      </c>
    </row>
    <row r="353" spans="1:24" ht="15" hidden="1" customHeight="1">
      <c r="A353" s="1147" t="s">
        <v>1247</v>
      </c>
      <c r="B353" s="1147" t="s">
        <v>2676</v>
      </c>
      <c r="C353" s="1149">
        <v>862.55</v>
      </c>
      <c r="D353" s="1149">
        <v>867.43</v>
      </c>
      <c r="E353" s="1149">
        <v>1729.98</v>
      </c>
      <c r="F353" s="1147" t="s">
        <v>401</v>
      </c>
      <c r="G353" s="1147" t="s">
        <v>2470</v>
      </c>
      <c r="H353" s="150"/>
      <c r="I353" s="151"/>
      <c r="J353" s="151"/>
      <c r="K353" s="151"/>
      <c r="L353" s="153" t="str">
        <f t="shared" si="25"/>
        <v>6256</v>
      </c>
      <c r="M353" s="154" t="str">
        <f t="shared" si="26"/>
        <v>FRAIS REPRESENTATION - USAGE</v>
      </c>
      <c r="N353" s="155">
        <f>+IF(OR($Q353=Parametres!$G$2,$Q353=Parametres!$G$3),I353,C353)</f>
        <v>862.55</v>
      </c>
      <c r="O353" s="1122">
        <f>+IF(OR($Q353=Parametres!$G$2,$Q353=Parametres!$G$3),J353,D353)</f>
        <v>867.43</v>
      </c>
      <c r="P353" s="155">
        <f>+IF(OR($Q353=Parametres!$G$2,$Q353=Parametres!$G$3),K353,E353)</f>
        <v>1729.98</v>
      </c>
      <c r="Q353" s="154" t="str">
        <f t="shared" si="27"/>
        <v>7-Dépenses</v>
      </c>
      <c r="R353" s="153" t="str">
        <f t="shared" si="28"/>
        <v>6156</v>
      </c>
      <c r="S353" s="154">
        <f t="shared" si="29"/>
        <v>0</v>
      </c>
      <c r="T353" s="156" t="str">
        <f>+VLOOKUP($L353,Data_Validation!$A:$D,1,0)</f>
        <v>6256</v>
      </c>
      <c r="U353" s="156" t="str">
        <f>+VLOOKUP($L353,Data_Validation!$A:$D,3,0)</f>
        <v>Véhicules usagés</v>
      </c>
      <c r="V353" s="156" t="str">
        <f>+VLOOKUP($L353,Data_Validation!$A:$D,4,0)</f>
        <v>Frais de déplacement</v>
      </c>
      <c r="W353" s="156" t="str">
        <f>+VLOOKUP($L353,Data_Validation!$A:$E,5,0)</f>
        <v>$</v>
      </c>
      <c r="X353" s="156">
        <f>+VLOOKUP($L353,Data_Validation!$A:$F,6,0)</f>
        <v>0</v>
      </c>
    </row>
    <row r="354" spans="1:24" ht="15" hidden="1" customHeight="1">
      <c r="A354" s="1147" t="s">
        <v>1308</v>
      </c>
      <c r="B354" s="1147" t="s">
        <v>2698</v>
      </c>
      <c r="C354" s="1149">
        <v>6532.5</v>
      </c>
      <c r="D354" s="1149">
        <v>1071.28</v>
      </c>
      <c r="E354" s="1149">
        <v>7603.78</v>
      </c>
      <c r="F354" s="1147" t="s">
        <v>401</v>
      </c>
      <c r="G354" s="1147" t="s">
        <v>2662</v>
      </c>
      <c r="H354" s="948"/>
      <c r="I354" s="948"/>
      <c r="J354" s="948"/>
      <c r="K354" s="948"/>
      <c r="L354" s="153" t="str">
        <f t="shared" si="25"/>
        <v>6259</v>
      </c>
      <c r="M354" s="154" t="str">
        <f t="shared" si="26"/>
        <v>SERVICE EXTERIEUR</v>
      </c>
      <c r="N354" s="155">
        <f>+IF(OR($Q354=Parametres!$G$2,$Q354=Parametres!$G$3),I354,C354)</f>
        <v>6532.5</v>
      </c>
      <c r="O354" s="1122">
        <f>+IF(OR($Q354=Parametres!$G$2,$Q354=Parametres!$G$3),J354,D354)</f>
        <v>1071.28</v>
      </c>
      <c r="P354" s="155">
        <f>+IF(OR($Q354=Parametres!$G$2,$Q354=Parametres!$G$3),K354,E354)</f>
        <v>7603.78</v>
      </c>
      <c r="Q354" s="154" t="str">
        <f t="shared" si="27"/>
        <v>7-Dépenses</v>
      </c>
      <c r="R354" s="153" t="str">
        <f t="shared" si="28"/>
        <v>6159</v>
      </c>
      <c r="S354" s="154">
        <f t="shared" si="29"/>
        <v>0</v>
      </c>
      <c r="T354" s="156" t="str">
        <f>+VLOOKUP($L354,Data_Validation!$A:$D,1,0)</f>
        <v>6259</v>
      </c>
      <c r="U354" s="156" t="str">
        <f>+VLOOKUP($L354,Data_Validation!$A:$D,3,0)</f>
        <v>Véhicules usagés</v>
      </c>
      <c r="V354" s="156" t="str">
        <f>+VLOOKUP($L354,Data_Validation!$A:$D,4,0)</f>
        <v>Services extérieurs</v>
      </c>
      <c r="W354" s="156" t="str">
        <f>+VLOOKUP($L354,Data_Validation!$A:$E,5,0)</f>
        <v>$</v>
      </c>
      <c r="X354" s="156">
        <f>+VLOOKUP($L354,Data_Validation!$A:$F,6,0)</f>
        <v>0</v>
      </c>
    </row>
    <row r="355" spans="1:24" ht="15" hidden="1" customHeight="1">
      <c r="A355" s="1147" t="s">
        <v>1333</v>
      </c>
      <c r="B355" s="1147" t="s">
        <v>2680</v>
      </c>
      <c r="C355" s="1149">
        <v>3201.78</v>
      </c>
      <c r="D355" s="1149">
        <v>517.74</v>
      </c>
      <c r="E355" s="1149">
        <v>3719.52</v>
      </c>
      <c r="F355" s="1147" t="s">
        <v>401</v>
      </c>
      <c r="G355" s="1147" t="s">
        <v>2653</v>
      </c>
      <c r="H355" s="150"/>
      <c r="I355" s="151"/>
      <c r="J355" s="151"/>
      <c r="K355" s="151"/>
      <c r="L355" s="153" t="str">
        <f t="shared" si="25"/>
        <v>6261</v>
      </c>
      <c r="M355" s="154" t="str">
        <f t="shared" si="26"/>
        <v>DEPRECIATION EQUIP. &amp; FIXTURES</v>
      </c>
      <c r="N355" s="155">
        <f>+IF(OR($Q355=Parametres!$G$2,$Q355=Parametres!$G$3),I355,C355)</f>
        <v>3201.78</v>
      </c>
      <c r="O355" s="1122">
        <f>+IF(OR($Q355=Parametres!$G$2,$Q355=Parametres!$G$3),J355,D355)</f>
        <v>517.74</v>
      </c>
      <c r="P355" s="155">
        <f>+IF(OR($Q355=Parametres!$G$2,$Q355=Parametres!$G$3),K355,E355)</f>
        <v>3719.52</v>
      </c>
      <c r="Q355" s="154" t="str">
        <f t="shared" si="27"/>
        <v>7-Dépenses</v>
      </c>
      <c r="R355" s="153" t="str">
        <f t="shared" si="28"/>
        <v>6161</v>
      </c>
      <c r="S355" s="154">
        <f t="shared" si="29"/>
        <v>0</v>
      </c>
      <c r="T355" s="156" t="str">
        <f>+VLOOKUP($L355,Data_Validation!$A:$D,1,0)</f>
        <v>6261</v>
      </c>
      <c r="U355" s="156" t="str">
        <f>+VLOOKUP($L355,Data_Validation!$A:$D,3,0)</f>
        <v>Véhicules usagés</v>
      </c>
      <c r="V355" s="156" t="str">
        <f>+VLOOKUP($L355,Data_Validation!$A:$D,4,0)</f>
        <v>Amortissement</v>
      </c>
      <c r="W355" s="156" t="str">
        <f>+VLOOKUP($L355,Data_Validation!$A:$E,5,0)</f>
        <v>$</v>
      </c>
      <c r="X355" s="156">
        <f>+VLOOKUP($L355,Data_Validation!$A:$F,6,0)</f>
        <v>0</v>
      </c>
    </row>
    <row r="356" spans="1:24" ht="15" hidden="1" customHeight="1">
      <c r="A356" s="1147" t="s">
        <v>1380</v>
      </c>
      <c r="B356" s="1147" t="s">
        <v>2633</v>
      </c>
      <c r="C356" s="1149">
        <v>1628.73</v>
      </c>
      <c r="D356" s="1149">
        <v>209.1</v>
      </c>
      <c r="E356" s="1149">
        <v>1837.83</v>
      </c>
      <c r="F356" s="1147" t="s">
        <v>401</v>
      </c>
      <c r="G356" s="1147" t="s">
        <v>2604</v>
      </c>
      <c r="H356" s="150"/>
      <c r="I356" s="157"/>
      <c r="J356" s="157"/>
      <c r="K356" s="157"/>
      <c r="L356" s="153" t="str">
        <f t="shared" si="25"/>
        <v>6281</v>
      </c>
      <c r="M356" s="154" t="str">
        <f t="shared" si="26"/>
        <v>CHAUFFAGE,ELECTRICITE,EAU-USAGE</v>
      </c>
      <c r="N356" s="155">
        <f>+IF(OR($Q356=Parametres!$G$2,$Q356=Parametres!$G$3),I356,C356)</f>
        <v>1628.73</v>
      </c>
      <c r="O356" s="1122">
        <f>+IF(OR($Q356=Parametres!$G$2,$Q356=Parametres!$G$3),J356,D356)</f>
        <v>209.1</v>
      </c>
      <c r="P356" s="155">
        <f>+IF(OR($Q356=Parametres!$G$2,$Q356=Parametres!$G$3),K356,E356)</f>
        <v>1837.83</v>
      </c>
      <c r="Q356" s="154" t="str">
        <f t="shared" si="27"/>
        <v>7-Dépenses</v>
      </c>
      <c r="R356" s="153" t="str">
        <f t="shared" si="28"/>
        <v>6181</v>
      </c>
      <c r="S356" s="154">
        <f t="shared" si="29"/>
        <v>0</v>
      </c>
      <c r="T356" s="156" t="str">
        <f>+VLOOKUP($L356,Data_Validation!$A:$D,1,0)</f>
        <v>6281</v>
      </c>
      <c r="U356" s="156" t="str">
        <f>+VLOOKUP($L356,Data_Validation!$A:$D,3,0)</f>
        <v>Véhicules usagés</v>
      </c>
      <c r="V356" s="156" t="str">
        <f>+VLOOKUP($L356,Data_Validation!$A:$D,4,0)</f>
        <v>Chauffage, éclairage</v>
      </c>
      <c r="W356" s="156" t="str">
        <f>+VLOOKUP($L356,Data_Validation!$A:$E,5,0)</f>
        <v>$</v>
      </c>
      <c r="X356" s="156">
        <f>+VLOOKUP($L356,Data_Validation!$A:$F,6,0)</f>
        <v>0</v>
      </c>
    </row>
    <row r="357" spans="1:24" ht="15" hidden="1" customHeight="1">
      <c r="A357" s="1147" t="s">
        <v>1462</v>
      </c>
      <c r="B357" s="1147" t="s">
        <v>2724</v>
      </c>
      <c r="C357" s="1149">
        <v>18720</v>
      </c>
      <c r="D357" s="1149">
        <v>3120</v>
      </c>
      <c r="E357" s="1149">
        <v>21840</v>
      </c>
      <c r="F357" s="1147" t="s">
        <v>401</v>
      </c>
      <c r="G357" s="1147" t="s">
        <v>2709</v>
      </c>
      <c r="H357" s="150"/>
      <c r="I357" s="157"/>
      <c r="J357" s="157"/>
      <c r="K357" s="157"/>
      <c r="L357" s="153" t="str">
        <f t="shared" si="25"/>
        <v>6282</v>
      </c>
      <c r="M357" s="154" t="str">
        <f t="shared" si="26"/>
        <v>LOYER - USAGE</v>
      </c>
      <c r="N357" s="155">
        <f>+IF(OR($Q357=Parametres!$G$2,$Q357=Parametres!$G$3),I357,C357)</f>
        <v>18720</v>
      </c>
      <c r="O357" s="1122">
        <f>+IF(OR($Q357=Parametres!$G$2,$Q357=Parametres!$G$3),J357,D357)</f>
        <v>3120</v>
      </c>
      <c r="P357" s="155">
        <f>+IF(OR($Q357=Parametres!$G$2,$Q357=Parametres!$G$3),K357,E357)</f>
        <v>21840</v>
      </c>
      <c r="Q357" s="154" t="str">
        <f t="shared" si="27"/>
        <v>7-Dépenses</v>
      </c>
      <c r="R357" s="153" t="str">
        <f t="shared" si="28"/>
        <v>6182</v>
      </c>
      <c r="S357" s="154">
        <f t="shared" si="29"/>
        <v>0</v>
      </c>
      <c r="T357" s="156" t="str">
        <f>+VLOOKUP($L357,Data_Validation!$A:$D,1,0)</f>
        <v>6282</v>
      </c>
      <c r="U357" s="156" t="str">
        <f>+VLOOKUP($L357,Data_Validation!$A:$D,3,0)</f>
        <v>Véhicules usagés</v>
      </c>
      <c r="V357" s="156" t="str">
        <f>+VLOOKUP($L357,Data_Validation!$A:$D,4,0)</f>
        <v>Loyer</v>
      </c>
      <c r="W357" s="156" t="str">
        <f>+VLOOKUP($L357,Data_Validation!$A:$E,5,0)</f>
        <v>$</v>
      </c>
      <c r="X357" s="156">
        <f>+VLOOKUP($L357,Data_Validation!$A:$F,6,0)</f>
        <v>0</v>
      </c>
    </row>
    <row r="358" spans="1:24" ht="15.75" hidden="1" customHeight="1">
      <c r="A358" s="1147" t="s">
        <v>1290</v>
      </c>
      <c r="B358" s="1147" t="s">
        <v>2615</v>
      </c>
      <c r="C358" s="1149">
        <v>2669.82</v>
      </c>
      <c r="D358" s="1149">
        <v>444.97</v>
      </c>
      <c r="E358" s="1149">
        <v>3114.79</v>
      </c>
      <c r="F358" s="1147" t="s">
        <v>401</v>
      </c>
      <c r="G358" s="1147" t="s">
        <v>2594</v>
      </c>
      <c r="H358" s="150"/>
      <c r="I358" s="151"/>
      <c r="J358" s="151"/>
      <c r="K358" s="151"/>
      <c r="L358" s="153" t="str">
        <f t="shared" si="25"/>
        <v>6286</v>
      </c>
      <c r="M358" s="154" t="str">
        <f t="shared" si="26"/>
        <v>ASSURANCE BATISSE &amp; AMEL.-USAGE</v>
      </c>
      <c r="N358" s="155">
        <f>+IF(OR($Q358=Parametres!$G$2,$Q358=Parametres!$G$3),I358,C358)</f>
        <v>2669.82</v>
      </c>
      <c r="O358" s="1122">
        <f>+IF(OR($Q358=Parametres!$G$2,$Q358=Parametres!$G$3),J358,D358)</f>
        <v>444.97</v>
      </c>
      <c r="P358" s="155">
        <f>+IF(OR($Q358=Parametres!$G$2,$Q358=Parametres!$G$3),K358,E358)</f>
        <v>3114.79</v>
      </c>
      <c r="Q358" s="154" t="str">
        <f t="shared" si="27"/>
        <v>7-Dépenses</v>
      </c>
      <c r="R358" s="153" t="str">
        <f t="shared" si="28"/>
        <v>6186</v>
      </c>
      <c r="S358" s="154">
        <f t="shared" si="29"/>
        <v>0</v>
      </c>
      <c r="T358" s="156" t="str">
        <f>+VLOOKUP($L358,Data_Validation!$A:$D,1,0)</f>
        <v>6286</v>
      </c>
      <c r="U358" s="156" t="str">
        <f>+VLOOKUP($L358,Data_Validation!$A:$D,3,0)</f>
        <v>Véhicules usagés</v>
      </c>
      <c r="V358" s="156" t="str">
        <f>+VLOOKUP($L358,Data_Validation!$A:$D,4,0)</f>
        <v>Assurances</v>
      </c>
      <c r="W358" s="156" t="str">
        <f>+VLOOKUP($L358,Data_Validation!$A:$E,5,0)</f>
        <v>$</v>
      </c>
      <c r="X358" s="156">
        <f>+VLOOKUP($L358,Data_Validation!$A:$F,6,0)</f>
        <v>0</v>
      </c>
    </row>
    <row r="359" spans="1:24" ht="15" hidden="1" customHeight="1">
      <c r="A359" s="1147" t="s">
        <v>1203</v>
      </c>
      <c r="B359" s="1147" t="s">
        <v>2651</v>
      </c>
      <c r="C359" s="1149">
        <v>3463.2</v>
      </c>
      <c r="D359" s="1149">
        <v>577.20000000000005</v>
      </c>
      <c r="E359" s="1149">
        <v>4040.4</v>
      </c>
      <c r="F359" s="1147" t="s">
        <v>401</v>
      </c>
      <c r="G359" s="1147" t="s">
        <v>2614</v>
      </c>
      <c r="H359" s="948"/>
      <c r="I359" s="948"/>
      <c r="J359" s="948"/>
      <c r="K359" s="948"/>
      <c r="L359" s="153" t="str">
        <f t="shared" si="25"/>
        <v>6287</v>
      </c>
      <c r="M359" s="154" t="str">
        <f t="shared" si="26"/>
        <v>TAXES FONCIERES - USAGE</v>
      </c>
      <c r="N359" s="155">
        <f>+IF(OR($Q359=Parametres!$G$2,$Q359=Parametres!$G$3),I359,C359)</f>
        <v>3463.2</v>
      </c>
      <c r="O359" s="1122">
        <f>+IF(OR($Q359=Parametres!$G$2,$Q359=Parametres!$G$3),J359,D359)</f>
        <v>577.20000000000005</v>
      </c>
      <c r="P359" s="155">
        <f>+IF(OR($Q359=Parametres!$G$2,$Q359=Parametres!$G$3),K359,E359)</f>
        <v>4040.4</v>
      </c>
      <c r="Q359" s="154" t="str">
        <f t="shared" si="27"/>
        <v>7-Dépenses</v>
      </c>
      <c r="R359" s="153" t="str">
        <f t="shared" si="28"/>
        <v>6187</v>
      </c>
      <c r="S359" s="154">
        <f t="shared" si="29"/>
        <v>0</v>
      </c>
      <c r="T359" s="156" t="str">
        <f>+VLOOKUP($L359,Data_Validation!$A:$D,1,0)</f>
        <v>6287</v>
      </c>
      <c r="U359" s="156" t="str">
        <f>+VLOOKUP($L359,Data_Validation!$A:$D,3,0)</f>
        <v>Véhicules usagés</v>
      </c>
      <c r="V359" s="156" t="str">
        <f>+VLOOKUP($L359,Data_Validation!$A:$D,4,0)</f>
        <v>Taxes foncières</v>
      </c>
      <c r="W359" s="156" t="str">
        <f>+VLOOKUP($L359,Data_Validation!$A:$E,5,0)</f>
        <v>$</v>
      </c>
      <c r="X359" s="156">
        <f>+VLOOKUP($L359,Data_Validation!$A:$F,6,0)</f>
        <v>0</v>
      </c>
    </row>
    <row r="360" spans="1:24" ht="15" hidden="1" customHeight="1">
      <c r="A360" s="1147" t="s">
        <v>1393</v>
      </c>
      <c r="B360" s="1147" t="s">
        <v>2620</v>
      </c>
      <c r="C360" s="1149">
        <v>2304</v>
      </c>
      <c r="D360" s="1149">
        <v>384</v>
      </c>
      <c r="E360" s="1149">
        <v>2688</v>
      </c>
      <c r="F360" s="1147" t="s">
        <v>401</v>
      </c>
      <c r="G360" s="1147" t="s">
        <v>2597</v>
      </c>
      <c r="H360" s="948"/>
      <c r="I360" s="947"/>
      <c r="J360" s="947"/>
      <c r="K360" s="947"/>
      <c r="L360" s="153" t="str">
        <f t="shared" si="25"/>
        <v>6293</v>
      </c>
      <c r="M360" s="154" t="str">
        <f t="shared" si="26"/>
        <v>AUTRE TAXES - USAGES</v>
      </c>
      <c r="N360" s="155">
        <f>+IF(OR($Q360=Parametres!$G$2,$Q360=Parametres!$G$3),I360,C360)</f>
        <v>2304</v>
      </c>
      <c r="O360" s="1122">
        <f>+IF(OR($Q360=Parametres!$G$2,$Q360=Parametres!$G$3),J360,D360)</f>
        <v>384</v>
      </c>
      <c r="P360" s="155">
        <f>+IF(OR($Q360=Parametres!$G$2,$Q360=Parametres!$G$3),K360,E360)</f>
        <v>2688</v>
      </c>
      <c r="Q360" s="154" t="str">
        <f t="shared" si="27"/>
        <v>7-Dépenses</v>
      </c>
      <c r="R360" s="153" t="str">
        <f t="shared" si="28"/>
        <v>6193</v>
      </c>
      <c r="S360" s="154">
        <f t="shared" si="29"/>
        <v>0</v>
      </c>
      <c r="T360" s="156" t="str">
        <f>+VLOOKUP($L360,Data_Validation!$A:$D,1,0)</f>
        <v>6293</v>
      </c>
      <c r="U360" s="156" t="str">
        <f>+VLOOKUP($L360,Data_Validation!$A:$D,3,0)</f>
        <v>Véhicules usagés</v>
      </c>
      <c r="V360" s="156" t="str">
        <f>+VLOOKUP($L360,Data_Validation!$A:$D,4,0)</f>
        <v>Taxes d`affaires</v>
      </c>
      <c r="W360" s="156" t="str">
        <f>+VLOOKUP($L360,Data_Validation!$A:$E,5,0)</f>
        <v>$</v>
      </c>
      <c r="X360" s="156">
        <f>+VLOOKUP($L360,Data_Validation!$A:$F,6,0)</f>
        <v>0</v>
      </c>
    </row>
    <row r="361" spans="1:24" ht="15" hidden="1" customHeight="1">
      <c r="A361" s="1147" t="s">
        <v>1318</v>
      </c>
      <c r="B361" s="1147" t="s">
        <v>2664</v>
      </c>
      <c r="C361" s="1149">
        <v>4691.18</v>
      </c>
      <c r="D361" s="1149">
        <v>746.06</v>
      </c>
      <c r="E361" s="1149">
        <v>5437.24</v>
      </c>
      <c r="F361" s="1147" t="s">
        <v>401</v>
      </c>
      <c r="G361" s="1147" t="s">
        <v>2635</v>
      </c>
      <c r="H361" s="150"/>
      <c r="I361" s="157"/>
      <c r="J361" s="157"/>
      <c r="K361" s="157"/>
      <c r="L361" s="153" t="str">
        <f t="shared" si="25"/>
        <v>6294</v>
      </c>
      <c r="M361" s="154" t="str">
        <f t="shared" si="26"/>
        <v>FRAIS PROFESSIONNEL-USAGE</v>
      </c>
      <c r="N361" s="155">
        <f>+IF(OR($Q361=Parametres!$G$2,$Q361=Parametres!$G$3),I361,C361)</f>
        <v>4691.18</v>
      </c>
      <c r="O361" s="1122">
        <f>+IF(OR($Q361=Parametres!$G$2,$Q361=Parametres!$G$3),J361,D361)</f>
        <v>746.06</v>
      </c>
      <c r="P361" s="155">
        <f>+IF(OR($Q361=Parametres!$G$2,$Q361=Parametres!$G$3),K361,E361)</f>
        <v>5437.24</v>
      </c>
      <c r="Q361" s="154" t="str">
        <f t="shared" si="27"/>
        <v>7-Dépenses</v>
      </c>
      <c r="R361" s="153" t="str">
        <f t="shared" si="28"/>
        <v>6194</v>
      </c>
      <c r="S361" s="154">
        <f t="shared" si="29"/>
        <v>0</v>
      </c>
      <c r="T361" s="156" t="str">
        <f>+VLOOKUP($L361,Data_Validation!$A:$D,1,0)</f>
        <v>6294</v>
      </c>
      <c r="U361" s="156" t="str">
        <f>+VLOOKUP($L361,Data_Validation!$A:$D,3,0)</f>
        <v>Véhicules usagés</v>
      </c>
      <c r="V361" s="156" t="str">
        <f>+VLOOKUP($L361,Data_Validation!$A:$D,4,0)</f>
        <v>Honoraires</v>
      </c>
      <c r="W361" s="156" t="str">
        <f>+VLOOKUP($L361,Data_Validation!$A:$E,5,0)</f>
        <v>$</v>
      </c>
      <c r="X361" s="156">
        <f>+VLOOKUP($L361,Data_Validation!$A:$F,6,0)</f>
        <v>0</v>
      </c>
    </row>
    <row r="362" spans="1:24" ht="15.75" hidden="1" customHeight="1">
      <c r="A362" s="1147" t="s">
        <v>1403</v>
      </c>
      <c r="B362" s="1147" t="s">
        <v>2743</v>
      </c>
      <c r="C362" s="1149">
        <v>16784.830000000002</v>
      </c>
      <c r="D362" s="1149">
        <v>2097.5700000000002</v>
      </c>
      <c r="E362" s="1149">
        <v>18882.400000000001</v>
      </c>
      <c r="F362" s="1147" t="s">
        <v>401</v>
      </c>
      <c r="G362" s="1147" t="s">
        <v>2467</v>
      </c>
      <c r="H362" s="150"/>
      <c r="I362" s="157"/>
      <c r="J362" s="157"/>
      <c r="K362" s="157"/>
      <c r="L362" s="153" t="str">
        <f t="shared" si="25"/>
        <v>6403</v>
      </c>
      <c r="M362" s="154" t="str">
        <f t="shared" si="26"/>
        <v>RELAT. A LA CLIENTELE &amp; AJUST</v>
      </c>
      <c r="N362" s="155">
        <f>+IF(OR($Q362=Parametres!$G$2,$Q362=Parametres!$G$3),I362,C362)</f>
        <v>16784.830000000002</v>
      </c>
      <c r="O362" s="1122">
        <f>+IF(OR($Q362=Parametres!$G$2,$Q362=Parametres!$G$3),J362,D362)</f>
        <v>2097.5700000000002</v>
      </c>
      <c r="P362" s="155">
        <f>+IF(OR($Q362=Parametres!$G$2,$Q362=Parametres!$G$3),K362,E362)</f>
        <v>18882.400000000001</v>
      </c>
      <c r="Q362" s="154" t="str">
        <f t="shared" si="27"/>
        <v>7-Dépenses</v>
      </c>
      <c r="R362" s="153" t="str">
        <f t="shared" si="28"/>
        <v>6112</v>
      </c>
      <c r="S362" s="154">
        <f t="shared" si="29"/>
        <v>0</v>
      </c>
      <c r="T362" s="156" t="str">
        <f>+VLOOKUP($L362,Data_Validation!$A:$D,1,0)</f>
        <v>6403</v>
      </c>
      <c r="U362" s="156" t="str">
        <f>+VLOOKUP($L362,Data_Validation!$A:$D,3,0)</f>
        <v>Service</v>
      </c>
      <c r="V362" s="156" t="str">
        <f>+VLOOKUP($L362,Data_Validation!$A:$D,4,0)</f>
        <v>Service gratuit 2</v>
      </c>
      <c r="W362" s="156" t="str">
        <f>+VLOOKUP($L362,Data_Validation!$A:$E,5,0)</f>
        <v>$</v>
      </c>
      <c r="X362" s="156">
        <f>+VLOOKUP($L362,Data_Validation!$A:$F,6,0)</f>
        <v>0</v>
      </c>
    </row>
    <row r="363" spans="1:24" ht="15.75" hidden="1" customHeight="1">
      <c r="A363" s="1147" t="s">
        <v>1450</v>
      </c>
      <c r="B363" s="1147" t="s">
        <v>2677</v>
      </c>
      <c r="C363" s="1149">
        <v>1303.99</v>
      </c>
      <c r="D363" s="1149">
        <v>277.75</v>
      </c>
      <c r="E363" s="1149">
        <v>1581.74</v>
      </c>
      <c r="F363" s="1147" t="s">
        <v>401</v>
      </c>
      <c r="G363" s="1147" t="s">
        <v>2467</v>
      </c>
      <c r="H363" s="1013"/>
      <c r="I363" s="1013"/>
      <c r="J363" s="1013"/>
      <c r="K363" s="1013"/>
      <c r="L363" s="153" t="str">
        <f t="shared" si="25"/>
        <v>6412</v>
      </c>
      <c r="M363" s="154" t="str">
        <f t="shared" si="26"/>
        <v>AUTORISATION &amp; GAR./VEH. USA</v>
      </c>
      <c r="N363" s="155">
        <f>+IF(OR($Q363=Parametres!$G$2,$Q363=Parametres!$G$3),I363,C363)</f>
        <v>1303.99</v>
      </c>
      <c r="O363" s="1122">
        <f>+IF(OR($Q363=Parametres!$G$2,$Q363=Parametres!$G$3),J363,D363)</f>
        <v>277.75</v>
      </c>
      <c r="P363" s="155">
        <f>+IF(OR($Q363=Parametres!$G$2,$Q363=Parametres!$G$3),K363,E363)</f>
        <v>1581.74</v>
      </c>
      <c r="Q363" s="154" t="str">
        <f t="shared" si="27"/>
        <v>7-Dépenses</v>
      </c>
      <c r="R363" s="153" t="str">
        <f t="shared" si="28"/>
        <v>6112</v>
      </c>
      <c r="S363" s="154">
        <f t="shared" si="29"/>
        <v>0</v>
      </c>
      <c r="T363" s="156" t="str">
        <f>+VLOOKUP($L363,Data_Validation!$A:$D,1,0)</f>
        <v>6412</v>
      </c>
      <c r="U363" s="156" t="str">
        <f>+VLOOKUP($L363,Data_Validation!$A:$D,3,0)</f>
        <v>Service</v>
      </c>
      <c r="V363" s="156" t="str">
        <f>+VLOOKUP($L363,Data_Validation!$A:$D,4,0)</f>
        <v>Service gratuit 2</v>
      </c>
      <c r="W363" s="156" t="str">
        <f>+VLOOKUP($L363,Data_Validation!$A:$E,5,0)</f>
        <v>$</v>
      </c>
      <c r="X363" s="156">
        <f>+VLOOKUP($L363,Data_Validation!$A:$F,6,0)</f>
        <v>0</v>
      </c>
    </row>
    <row r="364" spans="1:24" ht="15" hidden="1" customHeight="1">
      <c r="A364" s="1147" t="s">
        <v>1374</v>
      </c>
      <c r="B364" s="1147" t="s">
        <v>2714</v>
      </c>
      <c r="C364" s="1149">
        <v>37820.589999999997</v>
      </c>
      <c r="D364" s="1149">
        <v>6489.14</v>
      </c>
      <c r="E364" s="1149">
        <v>44309.73</v>
      </c>
      <c r="F364" s="1147" t="s">
        <v>401</v>
      </c>
      <c r="G364" s="1147" t="s">
        <v>2113</v>
      </c>
      <c r="H364" s="1013"/>
      <c r="I364" s="1014"/>
      <c r="J364" s="1014"/>
      <c r="K364" s="1014"/>
      <c r="L364" s="153" t="str">
        <f t="shared" si="25"/>
        <v>6414</v>
      </c>
      <c r="M364" s="154" t="str">
        <f t="shared" si="26"/>
        <v>PUBLICITE</v>
      </c>
      <c r="N364" s="155">
        <f>+IF(OR($Q364=Parametres!$G$2,$Q364=Parametres!$G$3),I364,C364)</f>
        <v>37820.589999999997</v>
      </c>
      <c r="O364" s="1122">
        <f>+IF(OR($Q364=Parametres!$G$2,$Q364=Parametres!$G$3),J364,D364)</f>
        <v>6489.14</v>
      </c>
      <c r="P364" s="155">
        <f>+IF(OR($Q364=Parametres!$G$2,$Q364=Parametres!$G$3),K364,E364)</f>
        <v>44309.73</v>
      </c>
      <c r="Q364" s="154" t="str">
        <f t="shared" si="27"/>
        <v>7-Dépenses</v>
      </c>
      <c r="R364" s="153" t="str">
        <f t="shared" si="28"/>
        <v>6114</v>
      </c>
      <c r="S364" s="154">
        <f t="shared" si="29"/>
        <v>0</v>
      </c>
      <c r="T364" s="156" t="str">
        <f>+VLOOKUP($L364,Data_Validation!$A:$D,1,0)</f>
        <v>6414</v>
      </c>
      <c r="U364" s="156" t="str">
        <f>+VLOOKUP($L364,Data_Validation!$A:$D,3,0)</f>
        <v>Service</v>
      </c>
      <c r="V364" s="156" t="str">
        <f>+VLOOKUP($L364,Data_Validation!$A:$D,4,0)</f>
        <v>Publicité 2</v>
      </c>
      <c r="W364" s="156" t="str">
        <f>+VLOOKUP($L364,Data_Validation!$A:$E,5,0)</f>
        <v>$</v>
      </c>
      <c r="X364" s="156">
        <f>+VLOOKUP($L364,Data_Validation!$A:$F,6,0)</f>
        <v>0</v>
      </c>
    </row>
    <row r="365" spans="1:24" ht="15" hidden="1" customHeight="1">
      <c r="A365" s="1147" t="s">
        <v>1259</v>
      </c>
      <c r="B365" s="1147" t="s">
        <v>2711</v>
      </c>
      <c r="C365" s="1149">
        <v>3921.4</v>
      </c>
      <c r="D365" s="1149">
        <v>560.70000000000005</v>
      </c>
      <c r="E365" s="1149">
        <v>4482.1000000000004</v>
      </c>
      <c r="F365" s="1147" t="s">
        <v>401</v>
      </c>
      <c r="G365" s="1147" t="s">
        <v>2648</v>
      </c>
      <c r="H365" s="1013"/>
      <c r="I365" s="1013"/>
      <c r="J365" s="1013"/>
      <c r="K365" s="1013"/>
      <c r="L365" s="153" t="str">
        <f t="shared" si="25"/>
        <v>6421</v>
      </c>
      <c r="M365" s="154" t="str">
        <f t="shared" si="26"/>
        <v>SALAIRES - PROPRIETAIRES</v>
      </c>
      <c r="N365" s="155">
        <f>+IF(OR($Q365=Parametres!$G$2,$Q365=Parametres!$G$3),I365,C365)</f>
        <v>3921.4</v>
      </c>
      <c r="O365" s="1122">
        <f>+IF(OR($Q365=Parametres!$G$2,$Q365=Parametres!$G$3),J365,D365)</f>
        <v>560.70000000000005</v>
      </c>
      <c r="P365" s="155">
        <f>+IF(OR($Q365=Parametres!$G$2,$Q365=Parametres!$G$3),K365,E365)</f>
        <v>4482.1000000000004</v>
      </c>
      <c r="Q365" s="154" t="str">
        <f t="shared" si="27"/>
        <v>7-Dépenses</v>
      </c>
      <c r="R365" s="153" t="str">
        <f t="shared" si="28"/>
        <v>6121</v>
      </c>
      <c r="S365" s="154">
        <f t="shared" si="29"/>
        <v>0</v>
      </c>
      <c r="T365" s="156" t="str">
        <f>+VLOOKUP($L365,Data_Validation!$A:$D,1,0)</f>
        <v>6421</v>
      </c>
      <c r="U365" s="156" t="str">
        <f>+VLOOKUP($L365,Data_Validation!$A:$D,3,0)</f>
        <v>Service</v>
      </c>
      <c r="V365" s="156" t="str">
        <f>+VLOOKUP($L365,Data_Validation!$A:$D,4,0)</f>
        <v>Salaires propriétaire</v>
      </c>
      <c r="W365" s="156" t="str">
        <f>+VLOOKUP($L365,Data_Validation!$A:$E,5,0)</f>
        <v>$</v>
      </c>
      <c r="X365" s="156">
        <f>+VLOOKUP($L365,Data_Validation!$A:$F,6,0)</f>
        <v>0</v>
      </c>
    </row>
    <row r="366" spans="1:24" ht="15" hidden="1" customHeight="1">
      <c r="A366" s="1147" t="s">
        <v>2624</v>
      </c>
      <c r="B366" s="1147" t="s">
        <v>2771</v>
      </c>
      <c r="C366" s="1149">
        <v>70354.11</v>
      </c>
      <c r="D366" s="1149">
        <v>8478.41</v>
      </c>
      <c r="E366" s="1149">
        <v>78832.52</v>
      </c>
      <c r="F366" s="1147" t="s">
        <v>401</v>
      </c>
      <c r="G366" s="1147" t="s">
        <v>2626</v>
      </c>
      <c r="H366" s="1013"/>
      <c r="I366" s="1014"/>
      <c r="J366" s="1014"/>
      <c r="K366" s="1014"/>
      <c r="L366" s="153" t="str">
        <f t="shared" si="25"/>
        <v>6422</v>
      </c>
      <c r="M366" s="154" t="str">
        <f t="shared" si="26"/>
        <v>SAL SUPERVISION / GERANT</v>
      </c>
      <c r="N366" s="155">
        <f>+IF(OR($Q366=Parametres!$G$2,$Q366=Parametres!$G$3),I366,C366)</f>
        <v>70354.11</v>
      </c>
      <c r="O366" s="1120">
        <f>+IF(OR($Q366=Parametres!$G$2,$Q366=Parametres!$G$3),J366,D366)</f>
        <v>8478.41</v>
      </c>
      <c r="P366" s="155">
        <f>+IF(OR($Q366=Parametres!$G$2,$Q366=Parametres!$G$3),K366,E366)</f>
        <v>78832.52</v>
      </c>
      <c r="Q366" s="154" t="str">
        <f t="shared" si="27"/>
        <v>7-Dépenses</v>
      </c>
      <c r="R366" s="153" t="str">
        <f t="shared" si="28"/>
        <v>6122</v>
      </c>
      <c r="S366" s="154">
        <f t="shared" si="29"/>
        <v>0</v>
      </c>
      <c r="T366" s="156" t="str">
        <f>+VLOOKUP($L366,Data_Validation!$A:$D,1,0)</f>
        <v>6422</v>
      </c>
      <c r="U366" s="156" t="str">
        <f>+VLOOKUP($L366,Data_Validation!$A:$D,3,0)</f>
        <v>Service</v>
      </c>
      <c r="V366" s="156" t="str">
        <f>+VLOOKUP($L366,Data_Validation!$A:$D,4,0)</f>
        <v>Salaires cadres</v>
      </c>
      <c r="W366" s="156" t="str">
        <f>+VLOOKUP($L366,Data_Validation!$A:$E,5,0)</f>
        <v>$</v>
      </c>
      <c r="X366" s="156">
        <f>+VLOOKUP($L366,Data_Validation!$A:$F,6,0)</f>
        <v>0</v>
      </c>
    </row>
    <row r="367" spans="1:24" ht="15" hidden="1" customHeight="1">
      <c r="A367" s="1147" t="s">
        <v>1266</v>
      </c>
      <c r="B367" s="1147" t="s">
        <v>2766</v>
      </c>
      <c r="C367" s="1149">
        <v>49907.65</v>
      </c>
      <c r="D367" s="1149">
        <v>9894.76</v>
      </c>
      <c r="E367" s="1149">
        <v>59802.41</v>
      </c>
      <c r="F367" s="1147" t="s">
        <v>401</v>
      </c>
      <c r="G367" s="1147" t="s">
        <v>2679</v>
      </c>
      <c r="H367" s="1013"/>
      <c r="I367" s="1013"/>
      <c r="J367" s="1013"/>
      <c r="K367" s="1013"/>
      <c r="L367" s="153" t="str">
        <f t="shared" si="25"/>
        <v>6423</v>
      </c>
      <c r="M367" s="154" t="str">
        <f t="shared" si="26"/>
        <v>SAL. &amp; RENUM. CLERICAL</v>
      </c>
      <c r="N367" s="155">
        <f>+IF(OR($Q367=Parametres!$G$2,$Q367=Parametres!$G$3),I367,C367)</f>
        <v>49907.65</v>
      </c>
      <c r="O367" s="1122">
        <f>+IF(OR($Q367=Parametres!$G$2,$Q367=Parametres!$G$3),J367,D367)</f>
        <v>9894.76</v>
      </c>
      <c r="P367" s="155">
        <f>+IF(OR($Q367=Parametres!$G$2,$Q367=Parametres!$G$3),K367,E367)</f>
        <v>59802.41</v>
      </c>
      <c r="Q367" s="154" t="str">
        <f t="shared" si="27"/>
        <v>7-Dépenses</v>
      </c>
      <c r="R367" s="153" t="str">
        <f t="shared" si="28"/>
        <v>6123</v>
      </c>
      <c r="S367" s="154">
        <f t="shared" si="29"/>
        <v>0</v>
      </c>
      <c r="T367" s="156" t="str">
        <f>+VLOOKUP($L367,Data_Validation!$A:$D,1,0)</f>
        <v>6423</v>
      </c>
      <c r="U367" s="156" t="str">
        <f>+VLOOKUP($L367,Data_Validation!$A:$D,3,0)</f>
        <v>Service</v>
      </c>
      <c r="V367" s="156" t="str">
        <f>+VLOOKUP($L367,Data_Validation!$A:$D,4,0)</f>
        <v>Salaires commis</v>
      </c>
      <c r="W367" s="156" t="str">
        <f>+VLOOKUP($L367,Data_Validation!$A:$E,5,0)</f>
        <v>$</v>
      </c>
      <c r="X367" s="156">
        <f>+VLOOKUP($L367,Data_Validation!$A:$F,6,0)</f>
        <v>0</v>
      </c>
    </row>
    <row r="368" spans="1:24" ht="15" hidden="1" customHeight="1">
      <c r="A368" s="1147" t="s">
        <v>1249</v>
      </c>
      <c r="B368" s="1147" t="s">
        <v>2805</v>
      </c>
      <c r="C368" s="1149">
        <v>68860.539999999994</v>
      </c>
      <c r="D368" s="1149">
        <v>8265.98</v>
      </c>
      <c r="E368" s="1149">
        <v>77126.52</v>
      </c>
      <c r="F368" s="1147" t="s">
        <v>401</v>
      </c>
      <c r="G368" s="1147" t="s">
        <v>2735</v>
      </c>
      <c r="H368" s="150"/>
      <c r="I368" s="157"/>
      <c r="J368" s="157"/>
      <c r="K368" s="157"/>
      <c r="L368" s="153" t="str">
        <f t="shared" si="25"/>
        <v>6424</v>
      </c>
      <c r="M368" s="154" t="str">
        <f t="shared" si="26"/>
        <v>SALAIRES &amp; RENUM. - AUTRES</v>
      </c>
      <c r="N368" s="155">
        <f>+IF(OR($Q368=Parametres!$G$2,$Q368=Parametres!$G$3),I368,C368)</f>
        <v>68860.539999999994</v>
      </c>
      <c r="O368" s="1122">
        <f>+IF(OR($Q368=Parametres!$G$2,$Q368=Parametres!$G$3),J368,D368)</f>
        <v>8265.98</v>
      </c>
      <c r="P368" s="155">
        <f>+IF(OR($Q368=Parametres!$G$2,$Q368=Parametres!$G$3),K368,E368)</f>
        <v>77126.52</v>
      </c>
      <c r="Q368" s="154" t="str">
        <f t="shared" si="27"/>
        <v>7-Dépenses</v>
      </c>
      <c r="R368" s="153" t="str">
        <f t="shared" si="28"/>
        <v>6124</v>
      </c>
      <c r="S368" s="154">
        <f t="shared" si="29"/>
        <v>0</v>
      </c>
      <c r="T368" s="156" t="str">
        <f>+VLOOKUP($L368,Data_Validation!$A:$D,1,0)</f>
        <v>6424</v>
      </c>
      <c r="U368" s="156" t="str">
        <f>+VLOOKUP($L368,Data_Validation!$A:$D,3,0)</f>
        <v>Service</v>
      </c>
      <c r="V368" s="156" t="str">
        <f>+VLOOKUP($L368,Data_Validation!$A:$D,4,0)</f>
        <v>Salaires autres</v>
      </c>
      <c r="W368" s="156" t="str">
        <f>+VLOOKUP($L368,Data_Validation!$A:$E,5,0)</f>
        <v>$</v>
      </c>
      <c r="X368" s="156">
        <f>+VLOOKUP($L368,Data_Validation!$A:$F,6,0)</f>
        <v>0</v>
      </c>
    </row>
    <row r="369" spans="1:24" ht="15.75" hidden="1" customHeight="1">
      <c r="A369" s="1147" t="s">
        <v>1330</v>
      </c>
      <c r="B369" s="1147" t="s">
        <v>2810</v>
      </c>
      <c r="C369" s="1149">
        <v>140985.82</v>
      </c>
      <c r="D369" s="1149">
        <v>18299.27</v>
      </c>
      <c r="E369" s="1149">
        <v>159285.09</v>
      </c>
      <c r="F369" s="1147" t="s">
        <v>401</v>
      </c>
      <c r="G369" s="1147" t="s">
        <v>2721</v>
      </c>
      <c r="H369" s="150"/>
      <c r="I369" s="151"/>
      <c r="J369" s="151"/>
      <c r="K369" s="151"/>
      <c r="L369" s="153" t="str">
        <f t="shared" si="25"/>
        <v>6425</v>
      </c>
      <c r="M369" s="154" t="str">
        <f t="shared" si="26"/>
        <v>SALAIRE SPECIALISTES</v>
      </c>
      <c r="N369" s="155">
        <f>+IF(OR($Q369=Parametres!$G$2,$Q369=Parametres!$G$3),I369,C369)</f>
        <v>140985.82</v>
      </c>
      <c r="O369" s="1122">
        <f>+IF(OR($Q369=Parametres!$G$2,$Q369=Parametres!$G$3),J369,D369)</f>
        <v>18299.27</v>
      </c>
      <c r="P369" s="155">
        <f>+IF(OR($Q369=Parametres!$G$2,$Q369=Parametres!$G$3),K369,E369)</f>
        <v>159285.09</v>
      </c>
      <c r="Q369" s="154" t="str">
        <f t="shared" si="27"/>
        <v>7-Dépenses</v>
      </c>
      <c r="R369" s="153" t="str">
        <f t="shared" si="28"/>
        <v>6125</v>
      </c>
      <c r="S369" s="154">
        <f t="shared" si="29"/>
        <v>0</v>
      </c>
      <c r="T369" s="156" t="str">
        <f>+VLOOKUP($L369,Data_Validation!$A:$D,1,0)</f>
        <v>6425</v>
      </c>
      <c r="U369" s="156" t="str">
        <f>+VLOOKUP($L369,Data_Validation!$A:$D,3,0)</f>
        <v>Service</v>
      </c>
      <c r="V369" s="156" t="str">
        <f>+VLOOKUP($L369,Data_Validation!$A:$D,4,0)</f>
        <v>Salaires spécialistes</v>
      </c>
      <c r="W369" s="156" t="str">
        <f>+VLOOKUP($L369,Data_Validation!$A:$E,5,0)</f>
        <v>$</v>
      </c>
      <c r="X369" s="156">
        <f>+VLOOKUP($L369,Data_Validation!$A:$F,6,0)</f>
        <v>0</v>
      </c>
    </row>
    <row r="370" spans="1:24" ht="15" hidden="1" customHeight="1">
      <c r="A370" s="1147" t="s">
        <v>1448</v>
      </c>
      <c r="B370" s="1147" t="s">
        <v>2793</v>
      </c>
      <c r="C370" s="1149">
        <v>84834.61</v>
      </c>
      <c r="D370" s="1149">
        <v>14753.38</v>
      </c>
      <c r="E370" s="1149">
        <v>99587.99</v>
      </c>
      <c r="F370" s="1147" t="s">
        <v>401</v>
      </c>
      <c r="G370" s="1147" t="s">
        <v>2641</v>
      </c>
      <c r="H370" s="948"/>
      <c r="I370" s="947"/>
      <c r="J370" s="947"/>
      <c r="K370" s="947"/>
      <c r="L370" s="153" t="str">
        <f t="shared" si="25"/>
        <v>6429</v>
      </c>
      <c r="M370" s="154" t="str">
        <f t="shared" si="26"/>
        <v>SAL.,VACANCE, &amp; SAL. JOURS FER</v>
      </c>
      <c r="N370" s="155">
        <f>+IF(OR($Q370=Parametres!$G$2,$Q370=Parametres!$G$3),I370,C370)</f>
        <v>84834.61</v>
      </c>
      <c r="O370" s="1122">
        <f>+IF(OR($Q370=Parametres!$G$2,$Q370=Parametres!$G$3),J370,D370)</f>
        <v>14753.38</v>
      </c>
      <c r="P370" s="155">
        <f>+IF(OR($Q370=Parametres!$G$2,$Q370=Parametres!$G$3),K370,E370)</f>
        <v>99587.99</v>
      </c>
      <c r="Q370" s="154" t="str">
        <f t="shared" si="27"/>
        <v>7-Dépenses</v>
      </c>
      <c r="R370" s="153" t="str">
        <f t="shared" si="28"/>
        <v>6129</v>
      </c>
      <c r="S370" s="154">
        <f t="shared" si="29"/>
        <v>0</v>
      </c>
      <c r="T370" s="156" t="str">
        <f>+VLOOKUP($L370,Data_Validation!$A:$D,1,0)</f>
        <v>6429</v>
      </c>
      <c r="U370" s="156" t="str">
        <f>+VLOOKUP($L370,Data_Validation!$A:$D,3,0)</f>
        <v>Service</v>
      </c>
      <c r="V370" s="156" t="str">
        <f>+VLOOKUP($L370,Data_Validation!$A:$D,4,0)</f>
        <v>Salaires en absences</v>
      </c>
      <c r="W370" s="156" t="str">
        <f>+VLOOKUP($L370,Data_Validation!$A:$E,5,0)</f>
        <v>$</v>
      </c>
      <c r="X370" s="156">
        <f>+VLOOKUP($L370,Data_Validation!$A:$F,6,0)</f>
        <v>0</v>
      </c>
    </row>
    <row r="371" spans="1:24" ht="15" hidden="1" customHeight="1">
      <c r="A371" s="1147" t="s">
        <v>1252</v>
      </c>
      <c r="B371" s="1147" t="s">
        <v>2732</v>
      </c>
      <c r="C371" s="1149">
        <v>15515.33</v>
      </c>
      <c r="D371" s="1149">
        <v>2116.06</v>
      </c>
      <c r="E371" s="1149">
        <v>17631.39</v>
      </c>
      <c r="F371" s="1147" t="s">
        <v>401</v>
      </c>
      <c r="G371" s="1147" t="s">
        <v>2586</v>
      </c>
      <c r="H371" s="150"/>
      <c r="I371" s="151"/>
      <c r="J371" s="151"/>
      <c r="K371" s="151"/>
      <c r="L371" s="153" t="str">
        <f t="shared" si="25"/>
        <v>6431</v>
      </c>
      <c r="M371" s="154" t="str">
        <f t="shared" si="26"/>
        <v>CSST</v>
      </c>
      <c r="N371" s="155">
        <f>+IF(OR($Q371=Parametres!$G$2,$Q371=Parametres!$G$3),I371,C371)</f>
        <v>15515.33</v>
      </c>
      <c r="O371" s="1122">
        <f>+IF(OR($Q371=Parametres!$G$2,$Q371=Parametres!$G$3),J371,D371)</f>
        <v>2116.06</v>
      </c>
      <c r="P371" s="155">
        <f>+IF(OR($Q371=Parametres!$G$2,$Q371=Parametres!$G$3),K371,E371)</f>
        <v>17631.39</v>
      </c>
      <c r="Q371" s="154" t="str">
        <f t="shared" si="27"/>
        <v>7-Dépenses</v>
      </c>
      <c r="R371" s="153" t="str">
        <f t="shared" si="28"/>
        <v>6131</v>
      </c>
      <c r="S371" s="154">
        <f t="shared" si="29"/>
        <v>0</v>
      </c>
      <c r="T371" s="156" t="str">
        <f>+VLOOKUP($L371,Data_Validation!$A:$D,1,0)</f>
        <v>6431</v>
      </c>
      <c r="U371" s="156" t="str">
        <f>+VLOOKUP($L371,Data_Validation!$A:$D,3,0)</f>
        <v>Service</v>
      </c>
      <c r="V371" s="156" t="str">
        <f>+VLOOKUP($L371,Data_Validation!$A:$D,4,0)</f>
        <v>Csst</v>
      </c>
      <c r="W371" s="156" t="str">
        <f>+VLOOKUP($L371,Data_Validation!$A:$E,5,0)</f>
        <v>$</v>
      </c>
      <c r="X371" s="156">
        <f>+VLOOKUP($L371,Data_Validation!$A:$F,6,0)</f>
        <v>0</v>
      </c>
    </row>
    <row r="372" spans="1:24" ht="15" hidden="1" customHeight="1">
      <c r="A372" s="1147" t="s">
        <v>1283</v>
      </c>
      <c r="B372" s="1147" t="s">
        <v>2779</v>
      </c>
      <c r="C372" s="1149">
        <v>93091.96</v>
      </c>
      <c r="D372" s="1149">
        <v>12696.33</v>
      </c>
      <c r="E372" s="1149">
        <v>105788.29</v>
      </c>
      <c r="F372" s="1147" t="s">
        <v>401</v>
      </c>
      <c r="G372" s="1147" t="s">
        <v>2685</v>
      </c>
      <c r="H372" s="150"/>
      <c r="I372" s="151"/>
      <c r="J372" s="151"/>
      <c r="K372" s="151"/>
      <c r="L372" s="153" t="str">
        <f t="shared" si="25"/>
        <v>6432</v>
      </c>
      <c r="M372" s="154" t="str">
        <f t="shared" si="26"/>
        <v>RRQ RAMQ AC</v>
      </c>
      <c r="N372" s="155">
        <f>+IF(OR($Q372=Parametres!$G$2,$Q372=Parametres!$G$3),I372,C372)</f>
        <v>93091.96</v>
      </c>
      <c r="O372" s="1122">
        <f>+IF(OR($Q372=Parametres!$G$2,$Q372=Parametres!$G$3),J372,D372)</f>
        <v>12696.33</v>
      </c>
      <c r="P372" s="155">
        <f>+IF(OR($Q372=Parametres!$G$2,$Q372=Parametres!$G$3),K372,E372)</f>
        <v>105788.29</v>
      </c>
      <c r="Q372" s="154" t="str">
        <f t="shared" si="27"/>
        <v>7-Dépenses</v>
      </c>
      <c r="R372" s="153" t="str">
        <f t="shared" si="28"/>
        <v>6132</v>
      </c>
      <c r="S372" s="154">
        <f t="shared" si="29"/>
        <v>0</v>
      </c>
      <c r="T372" s="156" t="str">
        <f>+VLOOKUP($L372,Data_Validation!$A:$D,1,0)</f>
        <v>6432</v>
      </c>
      <c r="U372" s="156" t="str">
        <f>+VLOOKUP($L372,Data_Validation!$A:$D,3,0)</f>
        <v>Service</v>
      </c>
      <c r="V372" s="156" t="str">
        <f>+VLOOKUP($L372,Data_Validation!$A:$D,4,0)</f>
        <v>Déduction à la source</v>
      </c>
      <c r="W372" s="156" t="str">
        <f>+VLOOKUP($L372,Data_Validation!$A:$E,5,0)</f>
        <v>$</v>
      </c>
      <c r="X372" s="156">
        <f>+VLOOKUP($L372,Data_Validation!$A:$F,6,0)</f>
        <v>0</v>
      </c>
    </row>
    <row r="373" spans="1:24" ht="15" hidden="1" customHeight="1">
      <c r="A373" s="1147" t="s">
        <v>1220</v>
      </c>
      <c r="B373" s="1147" t="s">
        <v>2608</v>
      </c>
      <c r="C373" s="1149">
        <v>1476.13</v>
      </c>
      <c r="D373" s="1149">
        <v>275.51</v>
      </c>
      <c r="E373" s="1149">
        <v>1751.64</v>
      </c>
      <c r="F373" s="1147" t="s">
        <v>401</v>
      </c>
      <c r="G373" s="1147" t="s">
        <v>2579</v>
      </c>
      <c r="H373" s="150"/>
      <c r="I373" s="157"/>
      <c r="J373" s="157"/>
      <c r="K373" s="157"/>
      <c r="L373" s="153" t="str">
        <f t="shared" si="25"/>
        <v>6433</v>
      </c>
      <c r="M373" s="154" t="str">
        <f t="shared" si="26"/>
        <v>FOND PENSION - SERVICE</v>
      </c>
      <c r="N373" s="155">
        <f>+IF(OR($Q373=Parametres!$G$2,$Q373=Parametres!$G$3),I373,C373)</f>
        <v>1476.13</v>
      </c>
      <c r="O373" s="1122">
        <f>+IF(OR($Q373=Parametres!$G$2,$Q373=Parametres!$G$3),J373,D373)</f>
        <v>275.51</v>
      </c>
      <c r="P373" s="155">
        <f>+IF(OR($Q373=Parametres!$G$2,$Q373=Parametres!$G$3),K373,E373)</f>
        <v>1751.64</v>
      </c>
      <c r="Q373" s="154" t="str">
        <f t="shared" si="27"/>
        <v>7-Dépenses</v>
      </c>
      <c r="R373" s="153" t="str">
        <f t="shared" si="28"/>
        <v>6133</v>
      </c>
      <c r="S373" s="154">
        <f t="shared" si="29"/>
        <v>0</v>
      </c>
      <c r="T373" s="156" t="str">
        <f>+VLOOKUP($L373,Data_Validation!$A:$D,1,0)</f>
        <v>6433</v>
      </c>
      <c r="U373" s="156" t="str">
        <f>+VLOOKUP($L373,Data_Validation!$A:$D,3,0)</f>
        <v>Service</v>
      </c>
      <c r="V373" s="156" t="str">
        <f>+VLOOKUP($L373,Data_Validation!$A:$D,4,0)</f>
        <v>Bénéfices marginaux</v>
      </c>
      <c r="W373" s="156" t="str">
        <f>+VLOOKUP($L373,Data_Validation!$A:$E,5,0)</f>
        <v>$</v>
      </c>
      <c r="X373" s="156">
        <f>+VLOOKUP($L373,Data_Validation!$A:$F,6,0)</f>
        <v>0</v>
      </c>
    </row>
    <row r="374" spans="1:24" ht="15.75" hidden="1" customHeight="1">
      <c r="A374" s="1147" t="s">
        <v>1305</v>
      </c>
      <c r="B374" s="1147" t="s">
        <v>2742</v>
      </c>
      <c r="C374" s="1149">
        <v>65239.76</v>
      </c>
      <c r="D374" s="1149">
        <v>8823.5300000000007</v>
      </c>
      <c r="E374" s="1149">
        <v>74063.289999999994</v>
      </c>
      <c r="F374" s="1147" t="s">
        <v>401</v>
      </c>
      <c r="G374" s="1147" t="s">
        <v>2694</v>
      </c>
      <c r="H374" s="948"/>
      <c r="I374" s="947"/>
      <c r="J374" s="947"/>
      <c r="K374" s="947"/>
      <c r="L374" s="153" t="str">
        <f t="shared" si="25"/>
        <v>6439</v>
      </c>
      <c r="M374" s="154" t="str">
        <f t="shared" si="26"/>
        <v>ASSURANCE GROUPE</v>
      </c>
      <c r="N374" s="155">
        <f>+IF(OR($Q374=Parametres!$G$2,$Q374=Parametres!$G$3),I374,C374)</f>
        <v>65239.76</v>
      </c>
      <c r="O374" s="1122">
        <f>+IF(OR($Q374=Parametres!$G$2,$Q374=Parametres!$G$3),J374,D374)</f>
        <v>8823.5300000000007</v>
      </c>
      <c r="P374" s="155">
        <f>+IF(OR($Q374=Parametres!$G$2,$Q374=Parametres!$G$3),K374,E374)</f>
        <v>74063.289999999994</v>
      </c>
      <c r="Q374" s="154" t="str">
        <f t="shared" si="27"/>
        <v>7-Dépenses</v>
      </c>
      <c r="R374" s="153" t="str">
        <f t="shared" si="28"/>
        <v>6139</v>
      </c>
      <c r="S374" s="154">
        <f t="shared" si="29"/>
        <v>0</v>
      </c>
      <c r="T374" s="156" t="str">
        <f>+VLOOKUP($L374,Data_Validation!$A:$D,1,0)</f>
        <v>6439</v>
      </c>
      <c r="U374" s="156" t="str">
        <f>+VLOOKUP($L374,Data_Validation!$A:$D,3,0)</f>
        <v>Service</v>
      </c>
      <c r="V374" s="156" t="str">
        <f>+VLOOKUP($L374,Data_Validation!$A:$D,4,0)</f>
        <v>Bénéfices marginaux</v>
      </c>
      <c r="W374" s="156" t="str">
        <f>+VLOOKUP($L374,Data_Validation!$A:$E,5,0)</f>
        <v>$</v>
      </c>
      <c r="X374" s="156">
        <f>+VLOOKUP($L374,Data_Validation!$A:$F,6,0)</f>
        <v>0</v>
      </c>
    </row>
    <row r="375" spans="1:24" ht="15" hidden="1" customHeight="1">
      <c r="A375" s="1147" t="s">
        <v>1178</v>
      </c>
      <c r="B375" s="1147" t="s">
        <v>2466</v>
      </c>
      <c r="C375" s="1149">
        <v>571.02</v>
      </c>
      <c r="D375" s="1149">
        <v>0</v>
      </c>
      <c r="E375" s="1149">
        <v>571.02</v>
      </c>
      <c r="F375" s="1147" t="s">
        <v>401</v>
      </c>
      <c r="G375" s="1147" t="s">
        <v>2467</v>
      </c>
      <c r="H375" s="150"/>
      <c r="I375" s="157"/>
      <c r="J375" s="157"/>
      <c r="K375" s="157"/>
      <c r="L375" s="153" t="str">
        <f t="shared" si="25"/>
        <v>6441</v>
      </c>
      <c r="M375" s="154" t="str">
        <f t="shared" si="26"/>
        <v>RETOURS</v>
      </c>
      <c r="N375" s="155">
        <f>+IF(OR($Q375=Parametres!$G$2,$Q375=Parametres!$G$3),I375,C375)</f>
        <v>571.02</v>
      </c>
      <c r="O375" s="1122">
        <f>+IF(OR($Q375=Parametres!$G$2,$Q375=Parametres!$G$3),J375,D375)</f>
        <v>0</v>
      </c>
      <c r="P375" s="155">
        <f>+IF(OR($Q375=Parametres!$G$2,$Q375=Parametres!$G$3),K375,E375)</f>
        <v>571.02</v>
      </c>
      <c r="Q375" s="154" t="str">
        <f t="shared" si="27"/>
        <v>7-Dépenses</v>
      </c>
      <c r="R375" s="153" t="str">
        <f t="shared" si="28"/>
        <v>6112</v>
      </c>
      <c r="S375" s="154">
        <f t="shared" si="29"/>
        <v>0</v>
      </c>
      <c r="T375" s="156" t="str">
        <f>+VLOOKUP($L375,Data_Validation!$A:$D,1,0)</f>
        <v>6441</v>
      </c>
      <c r="U375" s="156" t="str">
        <f>+VLOOKUP($L375,Data_Validation!$A:$D,3,0)</f>
        <v>Service</v>
      </c>
      <c r="V375" s="156" t="str">
        <f>+VLOOKUP($L375,Data_Validation!$A:$D,4,0)</f>
        <v>Service gratuit 2</v>
      </c>
      <c r="W375" s="156" t="str">
        <f>+VLOOKUP($L375,Data_Validation!$A:$E,5,0)</f>
        <v>$</v>
      </c>
      <c r="X375" s="156">
        <f>+VLOOKUP($L375,Data_Validation!$A:$F,6,0)</f>
        <v>0</v>
      </c>
    </row>
    <row r="376" spans="1:24" ht="15" hidden="1" customHeight="1">
      <c r="A376" s="1147" t="s">
        <v>1157</v>
      </c>
      <c r="B376" s="1147" t="s">
        <v>2655</v>
      </c>
      <c r="C376" s="1149">
        <v>6492.55</v>
      </c>
      <c r="D376" s="1149">
        <v>-740.84</v>
      </c>
      <c r="E376" s="1149">
        <v>5751.71</v>
      </c>
      <c r="F376" s="1147" t="s">
        <v>401</v>
      </c>
      <c r="G376" s="1147" t="s">
        <v>2563</v>
      </c>
      <c r="H376" s="150"/>
      <c r="I376" s="151"/>
      <c r="J376" s="151"/>
      <c r="K376" s="151"/>
      <c r="L376" s="153" t="str">
        <f t="shared" si="25"/>
        <v>6442</v>
      </c>
      <c r="M376" s="154" t="str">
        <f t="shared" si="26"/>
        <v>FOURNITURES &amp; PETITS OUTILS</v>
      </c>
      <c r="N376" s="155">
        <f>+IF(OR($Q376=Parametres!$G$2,$Q376=Parametres!$G$3),I376,C376)</f>
        <v>6492.55</v>
      </c>
      <c r="O376" s="1122">
        <f>+IF(OR($Q376=Parametres!$G$2,$Q376=Parametres!$G$3),J376,D376)</f>
        <v>-740.84</v>
      </c>
      <c r="P376" s="155">
        <f>+IF(OR($Q376=Parametres!$G$2,$Q376=Parametres!$G$3),K376,E376)</f>
        <v>5751.71</v>
      </c>
      <c r="Q376" s="154" t="str">
        <f t="shared" si="27"/>
        <v>7-Dépenses</v>
      </c>
      <c r="R376" s="153" t="str">
        <f t="shared" si="28"/>
        <v>6142</v>
      </c>
      <c r="S376" s="154">
        <f t="shared" si="29"/>
        <v>0</v>
      </c>
      <c r="T376" s="156" t="str">
        <f>+VLOOKUP($L376,Data_Validation!$A:$D,1,0)</f>
        <v>6442</v>
      </c>
      <c r="U376" s="156" t="str">
        <f>+VLOOKUP($L376,Data_Validation!$A:$D,3,0)</f>
        <v>Service</v>
      </c>
      <c r="V376" s="156" t="str">
        <f>+VLOOKUP($L376,Data_Validation!$A:$D,4,0)</f>
        <v>Fournitures autres</v>
      </c>
      <c r="W376" s="156" t="str">
        <f>+VLOOKUP($L376,Data_Validation!$A:$E,5,0)</f>
        <v>$</v>
      </c>
      <c r="X376" s="156">
        <f>+VLOOKUP($L376,Data_Validation!$A:$F,6,0)</f>
        <v>0</v>
      </c>
    </row>
    <row r="377" spans="1:24" ht="15" hidden="1" customHeight="1">
      <c r="A377" s="1147" t="s">
        <v>932</v>
      </c>
      <c r="B377" s="1147" t="s">
        <v>2158</v>
      </c>
      <c r="C377" s="1149">
        <v>3807.94</v>
      </c>
      <c r="D377" s="1149">
        <v>425.65</v>
      </c>
      <c r="E377" s="1149">
        <v>4233.59</v>
      </c>
      <c r="F377" s="1147" t="s">
        <v>401</v>
      </c>
      <c r="G377" s="1147" t="s">
        <v>2159</v>
      </c>
      <c r="H377" s="150"/>
      <c r="I377" s="151"/>
      <c r="J377" s="151"/>
      <c r="K377" s="151"/>
      <c r="L377" s="153" t="str">
        <f t="shared" si="25"/>
        <v>6443</v>
      </c>
      <c r="M377" s="154" t="str">
        <f t="shared" si="26"/>
        <v>UNIFORMES &amp; LESSIVE</v>
      </c>
      <c r="N377" s="155">
        <f>+IF(OR($Q377=Parametres!$G$2,$Q377=Parametres!$G$3),I377,C377)</f>
        <v>3807.94</v>
      </c>
      <c r="O377" s="1122">
        <f>+IF(OR($Q377=Parametres!$G$2,$Q377=Parametres!$G$3),J377,D377)</f>
        <v>425.65</v>
      </c>
      <c r="P377" s="155">
        <f>+IF(OR($Q377=Parametres!$G$2,$Q377=Parametres!$G$3),K377,E377)</f>
        <v>4233.59</v>
      </c>
      <c r="Q377" s="154" t="str">
        <f t="shared" si="27"/>
        <v>7-Dépenses</v>
      </c>
      <c r="R377" s="153" t="str">
        <f t="shared" si="28"/>
        <v>6143</v>
      </c>
      <c r="S377" s="154">
        <f t="shared" si="29"/>
        <v>0</v>
      </c>
      <c r="T377" s="156" t="str">
        <f>+VLOOKUP($L377,Data_Validation!$A:$D,1,0)</f>
        <v>6443</v>
      </c>
      <c r="U377" s="156" t="str">
        <f>+VLOOKUP($L377,Data_Validation!$A:$D,3,0)</f>
        <v>Service</v>
      </c>
      <c r="V377" s="156" t="str">
        <f>+VLOOKUP($L377,Data_Validation!$A:$D,4,0)</f>
        <v>Uniformes</v>
      </c>
      <c r="W377" s="156" t="str">
        <f>+VLOOKUP($L377,Data_Validation!$A:$E,5,0)</f>
        <v>$</v>
      </c>
      <c r="X377" s="156">
        <f>+VLOOKUP($L377,Data_Validation!$A:$F,6,0)</f>
        <v>0</v>
      </c>
    </row>
    <row r="378" spans="1:24" ht="15" hidden="1" customHeight="1">
      <c r="A378" s="1147" t="s">
        <v>934</v>
      </c>
      <c r="B378" s="1147" t="s">
        <v>2572</v>
      </c>
      <c r="C378" s="1149">
        <v>6993.96</v>
      </c>
      <c r="D378" s="1149">
        <v>3976.7</v>
      </c>
      <c r="E378" s="1149">
        <v>10970.66</v>
      </c>
      <c r="F378" s="1147" t="s">
        <v>401</v>
      </c>
      <c r="G378" s="1147" t="s">
        <v>2561</v>
      </c>
      <c r="H378" s="150"/>
      <c r="I378" s="151"/>
      <c r="J378" s="151"/>
      <c r="K378" s="151"/>
      <c r="L378" s="153" t="str">
        <f t="shared" si="25"/>
        <v>6444</v>
      </c>
      <c r="M378" s="154" t="str">
        <f t="shared" si="26"/>
        <v>FORMATION</v>
      </c>
      <c r="N378" s="155">
        <f>+IF(OR($Q378=Parametres!$G$2,$Q378=Parametres!$G$3),I378,C378)</f>
        <v>6993.96</v>
      </c>
      <c r="O378" s="1122">
        <f>+IF(OR($Q378=Parametres!$G$2,$Q378=Parametres!$G$3),J378,D378)</f>
        <v>3976.7</v>
      </c>
      <c r="P378" s="155">
        <f>+IF(OR($Q378=Parametres!$G$2,$Q378=Parametres!$G$3),K378,E378)</f>
        <v>10970.66</v>
      </c>
      <c r="Q378" s="154" t="str">
        <f t="shared" si="27"/>
        <v>7-Dépenses</v>
      </c>
      <c r="R378" s="153" t="str">
        <f t="shared" si="28"/>
        <v>6144</v>
      </c>
      <c r="S378" s="154">
        <f t="shared" si="29"/>
        <v>0</v>
      </c>
      <c r="T378" s="156" t="str">
        <f>+VLOOKUP($L378,Data_Validation!$A:$D,1,0)</f>
        <v>6444</v>
      </c>
      <c r="U378" s="156" t="str">
        <f>+VLOOKUP($L378,Data_Validation!$A:$D,3,0)</f>
        <v>Service</v>
      </c>
      <c r="V378" s="156" t="str">
        <f>+VLOOKUP($L378,Data_Validation!$A:$D,4,0)</f>
        <v>Formation</v>
      </c>
      <c r="W378" s="156" t="str">
        <f>+VLOOKUP($L378,Data_Validation!$A:$E,5,0)</f>
        <v>$</v>
      </c>
      <c r="X378" s="156">
        <f>+VLOOKUP($L378,Data_Validation!$A:$F,6,0)</f>
        <v>0</v>
      </c>
    </row>
    <row r="379" spans="1:24" ht="15.75" hidden="1" customHeight="1">
      <c r="A379" s="1147" t="s">
        <v>1527</v>
      </c>
      <c r="B379" s="1147" t="s">
        <v>2801</v>
      </c>
      <c r="C379" s="1149">
        <v>88047.39</v>
      </c>
      <c r="D379" s="1149">
        <v>15745.4</v>
      </c>
      <c r="E379" s="1149">
        <v>103792.79</v>
      </c>
      <c r="F379" s="1147" t="s">
        <v>401</v>
      </c>
      <c r="G379" s="1147" t="s">
        <v>2632</v>
      </c>
      <c r="H379" s="150"/>
      <c r="I379" s="157"/>
      <c r="J379" s="157"/>
      <c r="K379" s="157"/>
      <c r="L379" s="153" t="str">
        <f t="shared" si="25"/>
        <v>6445</v>
      </c>
      <c r="M379" s="154" t="str">
        <f t="shared" si="26"/>
        <v>LOCATION COURTOISIE</v>
      </c>
      <c r="N379" s="155">
        <f>+IF(OR($Q379=Parametres!$G$2,$Q379=Parametres!$G$3),I379,C379)</f>
        <v>88047.39</v>
      </c>
      <c r="O379" s="1122">
        <f>+IF(OR($Q379=Parametres!$G$2,$Q379=Parametres!$G$3),J379,D379)</f>
        <v>15745.4</v>
      </c>
      <c r="P379" s="155">
        <f>+IF(OR($Q379=Parametres!$G$2,$Q379=Parametres!$G$3),K379,E379)</f>
        <v>103792.79</v>
      </c>
      <c r="Q379" s="154" t="str">
        <f t="shared" si="27"/>
        <v>7-Dépenses</v>
      </c>
      <c r="R379" s="153" t="str">
        <f t="shared" si="28"/>
        <v>6145</v>
      </c>
      <c r="S379" s="154">
        <f t="shared" si="29"/>
        <v>0</v>
      </c>
      <c r="T379" s="156" t="str">
        <f>+VLOOKUP($L379,Data_Validation!$A:$D,1,0)</f>
        <v>6445</v>
      </c>
      <c r="U379" s="156" t="str">
        <f>+VLOOKUP($L379,Data_Validation!$A:$D,3,0)</f>
        <v>Service</v>
      </c>
      <c r="V379" s="156" t="str">
        <f>+VLOOKUP($L379,Data_Validation!$A:$D,4,0)</f>
        <v>Frais véhicules de cie</v>
      </c>
      <c r="W379" s="156" t="str">
        <f>+VLOOKUP($L379,Data_Validation!$A:$E,5,0)</f>
        <v>$</v>
      </c>
      <c r="X379" s="156">
        <f>+VLOOKUP($L379,Data_Validation!$A:$F,6,0)</f>
        <v>0</v>
      </c>
    </row>
    <row r="380" spans="1:24" ht="15" hidden="1" customHeight="1">
      <c r="A380" s="1147" t="s">
        <v>1180</v>
      </c>
      <c r="B380" s="1147" t="s">
        <v>2609</v>
      </c>
      <c r="C380" s="1149">
        <v>586.28</v>
      </c>
      <c r="D380" s="1149">
        <v>197.4</v>
      </c>
      <c r="E380" s="1149">
        <v>783.68</v>
      </c>
      <c r="F380" s="1147" t="s">
        <v>401</v>
      </c>
      <c r="G380" s="1147" t="s">
        <v>2581</v>
      </c>
      <c r="H380" s="150"/>
      <c r="I380" s="157"/>
      <c r="J380" s="157"/>
      <c r="K380" s="157"/>
      <c r="L380" s="153" t="str">
        <f t="shared" si="25"/>
        <v>6447</v>
      </c>
      <c r="M380" s="154" t="str">
        <f t="shared" si="26"/>
        <v>FRET/EXPRESS/TRANS. PAR CAMION</v>
      </c>
      <c r="N380" s="155">
        <f>+IF(OR($Q380=Parametres!$G$2,$Q380=Parametres!$G$3),I380,C380)</f>
        <v>586.28</v>
      </c>
      <c r="O380" s="1120">
        <f>+IF(OR($Q380=Parametres!$G$2,$Q380=Parametres!$G$3),J380,D380)</f>
        <v>197.4</v>
      </c>
      <c r="P380" s="155">
        <f>+IF(OR($Q380=Parametres!$G$2,$Q380=Parametres!$G$3),K380,E380)</f>
        <v>783.68</v>
      </c>
      <c r="Q380" s="154" t="str">
        <f t="shared" si="27"/>
        <v>7-Dépenses</v>
      </c>
      <c r="R380" s="153" t="str">
        <f t="shared" si="28"/>
        <v>6147</v>
      </c>
      <c r="S380" s="154">
        <f t="shared" si="29"/>
        <v>0</v>
      </c>
      <c r="T380" s="156" t="str">
        <f>+VLOOKUP($L380,Data_Validation!$A:$D,1,0)</f>
        <v>6447</v>
      </c>
      <c r="U380" s="156" t="str">
        <f>+VLOOKUP($L380,Data_Validation!$A:$D,3,0)</f>
        <v>Service</v>
      </c>
      <c r="V380" s="156" t="str">
        <f>+VLOOKUP($L380,Data_Validation!$A:$D,4,0)</f>
        <v>Frais postaux</v>
      </c>
      <c r="W380" s="156" t="str">
        <f>+VLOOKUP($L380,Data_Validation!$A:$E,5,0)</f>
        <v>$</v>
      </c>
      <c r="X380" s="156">
        <f>+VLOOKUP($L380,Data_Validation!$A:$F,6,0)</f>
        <v>0</v>
      </c>
    </row>
    <row r="381" spans="1:24" ht="15" hidden="1" customHeight="1">
      <c r="A381" s="1147" t="s">
        <v>1286</v>
      </c>
      <c r="B381" s="1147" t="s">
        <v>2745</v>
      </c>
      <c r="C381" s="1149">
        <v>23171.69</v>
      </c>
      <c r="D381" s="1149">
        <v>4256.16</v>
      </c>
      <c r="E381" s="1149">
        <v>27427.85</v>
      </c>
      <c r="F381" s="1147" t="s">
        <v>401</v>
      </c>
      <c r="G381" s="1147" t="s">
        <v>2702</v>
      </c>
      <c r="H381" s="150"/>
      <c r="I381" s="151"/>
      <c r="J381" s="151"/>
      <c r="K381" s="151"/>
      <c r="L381" s="153" t="str">
        <f t="shared" si="25"/>
        <v>6451</v>
      </c>
      <c r="M381" s="154" t="str">
        <f t="shared" si="26"/>
        <v>DEP. DU TRAITEMENT DES DONNEES</v>
      </c>
      <c r="N381" s="155">
        <f>+IF(OR($Q381=Parametres!$G$2,$Q381=Parametres!$G$3),I381,C381)</f>
        <v>23171.69</v>
      </c>
      <c r="O381" s="1122">
        <f>+IF(OR($Q381=Parametres!$G$2,$Q381=Parametres!$G$3),J381,D381)</f>
        <v>4256.16</v>
      </c>
      <c r="P381" s="155">
        <f>+IF(OR($Q381=Parametres!$G$2,$Q381=Parametres!$G$3),K381,E381)</f>
        <v>27427.85</v>
      </c>
      <c r="Q381" s="154" t="str">
        <f t="shared" si="27"/>
        <v>7-Dépenses</v>
      </c>
      <c r="R381" s="153" t="str">
        <f t="shared" si="28"/>
        <v>6151</v>
      </c>
      <c r="S381" s="154">
        <f t="shared" si="29"/>
        <v>0</v>
      </c>
      <c r="T381" s="156" t="str">
        <f>+VLOOKUP($L381,Data_Validation!$A:$D,1,0)</f>
        <v>6451</v>
      </c>
      <c r="U381" s="156" t="str">
        <f>+VLOOKUP($L381,Data_Validation!$A:$D,3,0)</f>
        <v>Service</v>
      </c>
      <c r="V381" s="156" t="str">
        <f>+VLOOKUP($L381,Data_Validation!$A:$D,4,0)</f>
        <v>Informatique</v>
      </c>
      <c r="W381" s="156" t="str">
        <f>+VLOOKUP($L381,Data_Validation!$A:$E,5,0)</f>
        <v>$</v>
      </c>
      <c r="X381" s="156">
        <f>+VLOOKUP($L381,Data_Validation!$A:$F,6,0)</f>
        <v>0</v>
      </c>
    </row>
    <row r="382" spans="1:24" ht="15" hidden="1" customHeight="1">
      <c r="A382" s="1147" t="s">
        <v>1206</v>
      </c>
      <c r="B382" s="1147" t="s">
        <v>2644</v>
      </c>
      <c r="C382" s="1149">
        <v>2299.5100000000002</v>
      </c>
      <c r="D382" s="1149">
        <v>349.99</v>
      </c>
      <c r="E382" s="1149">
        <v>2649.5</v>
      </c>
      <c r="F382" s="1147" t="s">
        <v>401</v>
      </c>
      <c r="G382" s="1147" t="s">
        <v>2588</v>
      </c>
      <c r="H382" s="150"/>
      <c r="I382" s="152"/>
      <c r="J382" s="152"/>
      <c r="K382" s="152"/>
      <c r="L382" s="153" t="str">
        <f t="shared" si="25"/>
        <v>6452</v>
      </c>
      <c r="M382" s="154" t="str">
        <f t="shared" si="26"/>
        <v>PAPETERIE</v>
      </c>
      <c r="N382" s="155">
        <f>+IF(OR($Q382=Parametres!$G$2,$Q382=Parametres!$G$3),I382,C382)</f>
        <v>2299.5100000000002</v>
      </c>
      <c r="O382" s="1122">
        <f>+IF(OR($Q382=Parametres!$G$2,$Q382=Parametres!$G$3),J382,D382)</f>
        <v>349.99</v>
      </c>
      <c r="P382" s="155">
        <f>+IF(OR($Q382=Parametres!$G$2,$Q382=Parametres!$G$3),K382,E382)</f>
        <v>2649.5</v>
      </c>
      <c r="Q382" s="154" t="str">
        <f t="shared" si="27"/>
        <v>7-Dépenses</v>
      </c>
      <c r="R382" s="153" t="str">
        <f t="shared" si="28"/>
        <v>6152</v>
      </c>
      <c r="S382" s="154">
        <f t="shared" si="29"/>
        <v>0</v>
      </c>
      <c r="T382" s="156" t="str">
        <f>+VLOOKUP($L382,Data_Validation!$A:$D,1,0)</f>
        <v>6452</v>
      </c>
      <c r="U382" s="156" t="str">
        <f>+VLOOKUP($L382,Data_Validation!$A:$D,3,0)</f>
        <v>Service</v>
      </c>
      <c r="V382" s="156" t="str">
        <f>+VLOOKUP($L382,Data_Validation!$A:$D,4,0)</f>
        <v>Papeterie</v>
      </c>
      <c r="W382" s="156" t="str">
        <f>+VLOOKUP($L382,Data_Validation!$A:$E,5,0)</f>
        <v>$</v>
      </c>
      <c r="X382" s="156">
        <f>+VLOOKUP($L382,Data_Validation!$A:$F,6,0)</f>
        <v>0</v>
      </c>
    </row>
    <row r="383" spans="1:24" ht="15.75" hidden="1" customHeight="1">
      <c r="A383" s="1147" t="s">
        <v>1154</v>
      </c>
      <c r="B383" s="1147" t="s">
        <v>2645</v>
      </c>
      <c r="C383" s="1149">
        <v>1595.6</v>
      </c>
      <c r="D383" s="1149">
        <v>104.35</v>
      </c>
      <c r="E383" s="1149">
        <v>1699.95</v>
      </c>
      <c r="F383" s="1147" t="s">
        <v>401</v>
      </c>
      <c r="G383" s="1147" t="s">
        <v>2592</v>
      </c>
      <c r="H383" s="150"/>
      <c r="I383" s="157"/>
      <c r="J383" s="157"/>
      <c r="K383" s="157"/>
      <c r="L383" s="153" t="str">
        <f t="shared" si="25"/>
        <v>6453</v>
      </c>
      <c r="M383" s="154" t="str">
        <f t="shared" si="26"/>
        <v>TELEPHONE ET TELEX</v>
      </c>
      <c r="N383" s="155">
        <f>+IF(OR($Q383=Parametres!$G$2,$Q383=Parametres!$G$3),I383,C383)</f>
        <v>1595.6</v>
      </c>
      <c r="O383" s="1122">
        <f>+IF(OR($Q383=Parametres!$G$2,$Q383=Parametres!$G$3),J383,D383)</f>
        <v>104.35</v>
      </c>
      <c r="P383" s="155">
        <f>+IF(OR($Q383=Parametres!$G$2,$Q383=Parametres!$G$3),K383,E383)</f>
        <v>1699.95</v>
      </c>
      <c r="Q383" s="154" t="str">
        <f t="shared" si="27"/>
        <v>7-Dépenses</v>
      </c>
      <c r="R383" s="153" t="str">
        <f t="shared" si="28"/>
        <v>6153</v>
      </c>
      <c r="S383" s="154">
        <f t="shared" si="29"/>
        <v>0</v>
      </c>
      <c r="T383" s="156" t="str">
        <f>+VLOOKUP($L383,Data_Validation!$A:$D,1,0)</f>
        <v>6453</v>
      </c>
      <c r="U383" s="156" t="str">
        <f>+VLOOKUP($L383,Data_Validation!$A:$D,3,0)</f>
        <v>Service</v>
      </c>
      <c r="V383" s="156" t="str">
        <f>+VLOOKUP($L383,Data_Validation!$A:$D,4,0)</f>
        <v>Téléphone</v>
      </c>
      <c r="W383" s="156" t="str">
        <f>+VLOOKUP($L383,Data_Validation!$A:$E,5,0)</f>
        <v>$</v>
      </c>
      <c r="X383" s="156">
        <f>+VLOOKUP($L383,Data_Validation!$A:$F,6,0)</f>
        <v>0</v>
      </c>
    </row>
    <row r="384" spans="1:24" ht="15" hidden="1" customHeight="1">
      <c r="A384" s="1147" t="s">
        <v>1237</v>
      </c>
      <c r="B384" s="1147" t="s">
        <v>2700</v>
      </c>
      <c r="C384" s="1149">
        <v>3035.31</v>
      </c>
      <c r="D384" s="1149">
        <v>602.79999999999995</v>
      </c>
      <c r="E384" s="1149">
        <v>3638.11</v>
      </c>
      <c r="F384" s="1147" t="s">
        <v>401</v>
      </c>
      <c r="G384" s="1147" t="s">
        <v>2637</v>
      </c>
      <c r="H384" s="150"/>
      <c r="I384" s="151"/>
      <c r="J384" s="151"/>
      <c r="K384" s="151"/>
      <c r="L384" s="153" t="str">
        <f t="shared" si="25"/>
        <v>6455</v>
      </c>
      <c r="M384" s="154" t="str">
        <f t="shared" si="26"/>
        <v>DEPENSES DIVERS</v>
      </c>
      <c r="N384" s="155">
        <f>+IF(OR($Q384=Parametres!$G$2,$Q384=Parametres!$G$3),I384,C384)</f>
        <v>3035.31</v>
      </c>
      <c r="O384" s="1122">
        <f>+IF(OR($Q384=Parametres!$G$2,$Q384=Parametres!$G$3),J384,D384)</f>
        <v>602.79999999999995</v>
      </c>
      <c r="P384" s="155">
        <f>+IF(OR($Q384=Parametres!$G$2,$Q384=Parametres!$G$3),K384,E384)</f>
        <v>3638.11</v>
      </c>
      <c r="Q384" s="154" t="str">
        <f t="shared" si="27"/>
        <v>7-Dépenses</v>
      </c>
      <c r="R384" s="153" t="str">
        <f t="shared" si="28"/>
        <v>6155</v>
      </c>
      <c r="S384" s="154">
        <f t="shared" si="29"/>
        <v>0</v>
      </c>
      <c r="T384" s="156" t="str">
        <f>+VLOOKUP($L384,Data_Validation!$A:$D,1,0)</f>
        <v>6455</v>
      </c>
      <c r="U384" s="156" t="str">
        <f>+VLOOKUP($L384,Data_Validation!$A:$D,3,0)</f>
        <v>Service</v>
      </c>
      <c r="V384" s="156" t="str">
        <f>+VLOOKUP($L384,Data_Validation!$A:$D,4,0)</f>
        <v>Divers</v>
      </c>
      <c r="W384" s="156" t="str">
        <f>+VLOOKUP($L384,Data_Validation!$A:$E,5,0)</f>
        <v>$</v>
      </c>
      <c r="X384" s="156">
        <f>+VLOOKUP($L384,Data_Validation!$A:$F,6,0)</f>
        <v>0</v>
      </c>
    </row>
    <row r="385" spans="1:24" ht="15" hidden="1" customHeight="1">
      <c r="A385" s="1147" t="s">
        <v>1292</v>
      </c>
      <c r="B385" s="1147" t="s">
        <v>2656</v>
      </c>
      <c r="C385" s="1149">
        <v>1953.48</v>
      </c>
      <c r="D385" s="1149">
        <v>839.69</v>
      </c>
      <c r="E385" s="1149">
        <v>2793.17</v>
      </c>
      <c r="F385" s="1147" t="s">
        <v>401</v>
      </c>
      <c r="G385" s="1147" t="s">
        <v>2470</v>
      </c>
      <c r="H385" s="150"/>
      <c r="I385" s="151"/>
      <c r="J385" s="151"/>
      <c r="K385" s="151"/>
      <c r="L385" s="153" t="str">
        <f t="shared" si="25"/>
        <v>6456</v>
      </c>
      <c r="M385" s="154" t="str">
        <f t="shared" si="26"/>
        <v>FRAIS REPRESENTATION - SERVICE</v>
      </c>
      <c r="N385" s="155">
        <f>+IF(OR($Q385=Parametres!$G$2,$Q385=Parametres!$G$3),I385,C385)</f>
        <v>1953.48</v>
      </c>
      <c r="O385" s="1122">
        <f>+IF(OR($Q385=Parametres!$G$2,$Q385=Parametres!$G$3),J385,D385)</f>
        <v>839.69</v>
      </c>
      <c r="P385" s="155">
        <f>+IF(OR($Q385=Parametres!$G$2,$Q385=Parametres!$G$3),K385,E385)</f>
        <v>2793.17</v>
      </c>
      <c r="Q385" s="154" t="str">
        <f t="shared" si="27"/>
        <v>7-Dépenses</v>
      </c>
      <c r="R385" s="153" t="str">
        <f t="shared" si="28"/>
        <v>6156</v>
      </c>
      <c r="S385" s="154">
        <f t="shared" si="29"/>
        <v>0</v>
      </c>
      <c r="T385" s="156" t="str">
        <f>+VLOOKUP($L385,Data_Validation!$A:$D,1,0)</f>
        <v>6456</v>
      </c>
      <c r="U385" s="156" t="str">
        <f>+VLOOKUP($L385,Data_Validation!$A:$D,3,0)</f>
        <v>Service</v>
      </c>
      <c r="V385" s="156" t="str">
        <f>+VLOOKUP($L385,Data_Validation!$A:$D,4,0)</f>
        <v>Frais de déplacement</v>
      </c>
      <c r="W385" s="156" t="str">
        <f>+VLOOKUP($L385,Data_Validation!$A:$E,5,0)</f>
        <v>$</v>
      </c>
      <c r="X385" s="156">
        <f>+VLOOKUP($L385,Data_Validation!$A:$F,6,0)</f>
        <v>0</v>
      </c>
    </row>
    <row r="386" spans="1:24" ht="15" hidden="1" customHeight="1">
      <c r="A386" s="1147" t="s">
        <v>1308</v>
      </c>
      <c r="B386" s="1147" t="s">
        <v>2736</v>
      </c>
      <c r="C386" s="1149">
        <v>13398.53</v>
      </c>
      <c r="D386" s="1149">
        <v>2374.9</v>
      </c>
      <c r="E386" s="1149">
        <v>15773.43</v>
      </c>
      <c r="F386" s="1147" t="s">
        <v>401</v>
      </c>
      <c r="G386" s="1147" t="s">
        <v>2662</v>
      </c>
      <c r="H386" s="150"/>
      <c r="I386" s="152"/>
      <c r="J386" s="152"/>
      <c r="K386" s="152"/>
      <c r="L386" s="153" t="str">
        <f t="shared" ref="L386:L449" si="30">+B386</f>
        <v>6459</v>
      </c>
      <c r="M386" s="154" t="str">
        <f t="shared" ref="M386:M449" si="31">+A386</f>
        <v>SERVICE EXTERIEUR</v>
      </c>
      <c r="N386" s="155">
        <f>+IF(OR($Q386=Parametres!$G$2,$Q386=Parametres!$G$3),I386,C386)</f>
        <v>13398.53</v>
      </c>
      <c r="O386" s="1122">
        <f>+IF(OR($Q386=Parametres!$G$2,$Q386=Parametres!$G$3),J386,D386)</f>
        <v>2374.9</v>
      </c>
      <c r="P386" s="155">
        <f>+IF(OR($Q386=Parametres!$G$2,$Q386=Parametres!$G$3),K386,E386)</f>
        <v>15773.43</v>
      </c>
      <c r="Q386" s="154" t="str">
        <f t="shared" ref="Q386:Q449" si="32">+F386</f>
        <v>7-Dépenses</v>
      </c>
      <c r="R386" s="153" t="str">
        <f t="shared" ref="R386:R449" si="33">+G386</f>
        <v>6159</v>
      </c>
      <c r="S386" s="154">
        <f t="shared" ref="S386:S449" si="34">+H386</f>
        <v>0</v>
      </c>
      <c r="T386" s="156" t="str">
        <f>+VLOOKUP($L386,Data_Validation!$A:$D,1,0)</f>
        <v>6459</v>
      </c>
      <c r="U386" s="156" t="str">
        <f>+VLOOKUP($L386,Data_Validation!$A:$D,3,0)</f>
        <v>Service</v>
      </c>
      <c r="V386" s="156" t="str">
        <f>+VLOOKUP($L386,Data_Validation!$A:$D,4,0)</f>
        <v>Services extérieurs</v>
      </c>
      <c r="W386" s="156" t="str">
        <f>+VLOOKUP($L386,Data_Validation!$A:$E,5,0)</f>
        <v>$</v>
      </c>
      <c r="X386" s="156">
        <f>+VLOOKUP($L386,Data_Validation!$A:$F,6,0)</f>
        <v>0</v>
      </c>
    </row>
    <row r="387" spans="1:24" ht="15.75" hidden="1" customHeight="1">
      <c r="A387" s="1147" t="s">
        <v>1333</v>
      </c>
      <c r="B387" s="1147" t="s">
        <v>2716</v>
      </c>
      <c r="C387" s="1149">
        <v>6403.56</v>
      </c>
      <c r="D387" s="1149">
        <v>1035.48</v>
      </c>
      <c r="E387" s="1149">
        <v>7439.04</v>
      </c>
      <c r="F387" s="1147" t="s">
        <v>401</v>
      </c>
      <c r="G387" s="1147" t="s">
        <v>2653</v>
      </c>
      <c r="H387" s="150"/>
      <c r="I387" s="151"/>
      <c r="J387" s="151"/>
      <c r="K387" s="151"/>
      <c r="L387" s="153" t="str">
        <f t="shared" si="30"/>
        <v>6461</v>
      </c>
      <c r="M387" s="154" t="str">
        <f t="shared" si="31"/>
        <v>DEPRECIATION EQUIP. &amp; FIXTURES</v>
      </c>
      <c r="N387" s="155">
        <f>+IF(OR($Q387=Parametres!$G$2,$Q387=Parametres!$G$3),I387,C387)</f>
        <v>6403.56</v>
      </c>
      <c r="O387" s="1122">
        <f>+IF(OR($Q387=Parametres!$G$2,$Q387=Parametres!$G$3),J387,D387)</f>
        <v>1035.48</v>
      </c>
      <c r="P387" s="155">
        <f>+IF(OR($Q387=Parametres!$G$2,$Q387=Parametres!$G$3),K387,E387)</f>
        <v>7439.04</v>
      </c>
      <c r="Q387" s="154" t="str">
        <f t="shared" si="32"/>
        <v>7-Dépenses</v>
      </c>
      <c r="R387" s="153" t="str">
        <f t="shared" si="33"/>
        <v>6161</v>
      </c>
      <c r="S387" s="154">
        <f t="shared" si="34"/>
        <v>0</v>
      </c>
      <c r="T387" s="156" t="str">
        <f>+VLOOKUP($L387,Data_Validation!$A:$D,1,0)</f>
        <v>6461</v>
      </c>
      <c r="U387" s="156" t="str">
        <f>+VLOOKUP($L387,Data_Validation!$A:$D,3,0)</f>
        <v>Service</v>
      </c>
      <c r="V387" s="156" t="str">
        <f>+VLOOKUP($L387,Data_Validation!$A:$D,4,0)</f>
        <v>Amortissement</v>
      </c>
      <c r="W387" s="156" t="str">
        <f>+VLOOKUP($L387,Data_Validation!$A:$E,5,0)</f>
        <v>$</v>
      </c>
      <c r="X387" s="156">
        <f>+VLOOKUP($L387,Data_Validation!$A:$F,6,0)</f>
        <v>0</v>
      </c>
    </row>
    <row r="388" spans="1:24" ht="15" hidden="1" customHeight="1">
      <c r="A388" s="1147" t="s">
        <v>1168</v>
      </c>
      <c r="B388" s="1147" t="s">
        <v>2638</v>
      </c>
      <c r="C388" s="1149">
        <v>4908.95</v>
      </c>
      <c r="D388" s="1149">
        <v>1362.12</v>
      </c>
      <c r="E388" s="1149">
        <v>6271.07</v>
      </c>
      <c r="F388" s="1147" t="s">
        <v>401</v>
      </c>
      <c r="G388" s="1147" t="s">
        <v>2639</v>
      </c>
      <c r="H388" s="150"/>
      <c r="I388" s="152"/>
      <c r="J388" s="152"/>
      <c r="K388" s="152"/>
      <c r="L388" s="153" t="str">
        <f t="shared" si="30"/>
        <v>6463</v>
      </c>
      <c r="M388" s="154" t="str">
        <f t="shared" si="31"/>
        <v>REPARATION &amp; ENT. - EQUIP.</v>
      </c>
      <c r="N388" s="155">
        <f>+IF(OR($Q388=Parametres!$G$2,$Q388=Parametres!$G$3),I388,C388)</f>
        <v>4908.95</v>
      </c>
      <c r="O388" s="1122">
        <f>+IF(OR($Q388=Parametres!$G$2,$Q388=Parametres!$G$3),J388,D388)</f>
        <v>1362.12</v>
      </c>
      <c r="P388" s="155">
        <f>+IF(OR($Q388=Parametres!$G$2,$Q388=Parametres!$G$3),K388,E388)</f>
        <v>6271.07</v>
      </c>
      <c r="Q388" s="154" t="str">
        <f t="shared" si="32"/>
        <v>7-Dépenses</v>
      </c>
      <c r="R388" s="153" t="str">
        <f t="shared" si="33"/>
        <v>6163</v>
      </c>
      <c r="S388" s="154">
        <f t="shared" si="34"/>
        <v>0</v>
      </c>
      <c r="T388" s="156" t="str">
        <f>+VLOOKUP($L388,Data_Validation!$A:$D,1,0)</f>
        <v>6463</v>
      </c>
      <c r="U388" s="156" t="str">
        <f>+VLOOKUP($L388,Data_Validation!$A:$D,3,0)</f>
        <v>Service</v>
      </c>
      <c r="V388" s="156" t="str">
        <f>+VLOOKUP($L388,Data_Validation!$A:$D,4,0)</f>
        <v>Réparation équipement</v>
      </c>
      <c r="W388" s="156" t="str">
        <f>+VLOOKUP($L388,Data_Validation!$A:$E,5,0)</f>
        <v>$</v>
      </c>
      <c r="X388" s="156">
        <f>+VLOOKUP($L388,Data_Validation!$A:$F,6,0)</f>
        <v>0</v>
      </c>
    </row>
    <row r="389" spans="1:24" ht="15" hidden="1" customHeight="1">
      <c r="A389" s="1147" t="s">
        <v>1311</v>
      </c>
      <c r="B389" s="1147" t="s">
        <v>2670</v>
      </c>
      <c r="C389" s="1149">
        <v>3257.44</v>
      </c>
      <c r="D389" s="1149">
        <v>418.2</v>
      </c>
      <c r="E389" s="1149">
        <v>3675.64</v>
      </c>
      <c r="F389" s="1147" t="s">
        <v>401</v>
      </c>
      <c r="G389" s="1147" t="s">
        <v>2604</v>
      </c>
      <c r="H389" s="150"/>
      <c r="I389" s="152"/>
      <c r="J389" s="152"/>
      <c r="K389" s="152"/>
      <c r="L389" s="153" t="str">
        <f t="shared" si="30"/>
        <v>6481</v>
      </c>
      <c r="M389" s="154" t="str">
        <f t="shared" si="31"/>
        <v>CHAUFFAGE,ELECTRICITE,EAU-SERVICE</v>
      </c>
      <c r="N389" s="155">
        <f>+IF(OR($Q389=Parametres!$G$2,$Q389=Parametres!$G$3),I389,C389)</f>
        <v>3257.44</v>
      </c>
      <c r="O389" s="1122">
        <f>+IF(OR($Q389=Parametres!$G$2,$Q389=Parametres!$G$3),J389,D389)</f>
        <v>418.2</v>
      </c>
      <c r="P389" s="155">
        <f>+IF(OR($Q389=Parametres!$G$2,$Q389=Parametres!$G$3),K389,E389)</f>
        <v>3675.64</v>
      </c>
      <c r="Q389" s="154" t="str">
        <f t="shared" si="32"/>
        <v>7-Dépenses</v>
      </c>
      <c r="R389" s="153" t="str">
        <f t="shared" si="33"/>
        <v>6181</v>
      </c>
      <c r="S389" s="154">
        <f t="shared" si="34"/>
        <v>0</v>
      </c>
      <c r="T389" s="156" t="str">
        <f>+VLOOKUP($L389,Data_Validation!$A:$D,1,0)</f>
        <v>6481</v>
      </c>
      <c r="U389" s="156" t="str">
        <f>+VLOOKUP($L389,Data_Validation!$A:$D,3,0)</f>
        <v>Service</v>
      </c>
      <c r="V389" s="156" t="str">
        <f>+VLOOKUP($L389,Data_Validation!$A:$D,4,0)</f>
        <v>Chauffage, éclairage</v>
      </c>
      <c r="W389" s="156" t="str">
        <f>+VLOOKUP($L389,Data_Validation!$A:$E,5,0)</f>
        <v>$</v>
      </c>
      <c r="X389" s="156">
        <f>+VLOOKUP($L389,Data_Validation!$A:$F,6,0)</f>
        <v>0</v>
      </c>
    </row>
    <row r="390" spans="1:24" ht="15" hidden="1" customHeight="1">
      <c r="A390" s="1147" t="s">
        <v>1452</v>
      </c>
      <c r="B390" s="1147" t="s">
        <v>2756</v>
      </c>
      <c r="C390" s="1149">
        <v>37440</v>
      </c>
      <c r="D390" s="1149">
        <v>6240</v>
      </c>
      <c r="E390" s="1149">
        <v>43680</v>
      </c>
      <c r="F390" s="1147" t="s">
        <v>401</v>
      </c>
      <c r="G390" s="1147" t="s">
        <v>2709</v>
      </c>
      <c r="H390" s="948"/>
      <c r="I390" s="947"/>
      <c r="J390" s="947"/>
      <c r="K390" s="947"/>
      <c r="L390" s="153" t="str">
        <f t="shared" si="30"/>
        <v>6482</v>
      </c>
      <c r="M390" s="154" t="str">
        <f t="shared" si="31"/>
        <v>LOYER - SERVICE</v>
      </c>
      <c r="N390" s="155">
        <f>+IF(OR($Q390=Parametres!$G$2,$Q390=Parametres!$G$3),I390,C390)</f>
        <v>37440</v>
      </c>
      <c r="O390" s="1122">
        <f>+IF(OR($Q390=Parametres!$G$2,$Q390=Parametres!$G$3),J390,D390)</f>
        <v>6240</v>
      </c>
      <c r="P390" s="155">
        <f>+IF(OR($Q390=Parametres!$G$2,$Q390=Parametres!$G$3),K390,E390)</f>
        <v>43680</v>
      </c>
      <c r="Q390" s="154" t="str">
        <f t="shared" si="32"/>
        <v>7-Dépenses</v>
      </c>
      <c r="R390" s="153" t="str">
        <f t="shared" si="33"/>
        <v>6182</v>
      </c>
      <c r="S390" s="154">
        <f t="shared" si="34"/>
        <v>0</v>
      </c>
      <c r="T390" s="156" t="str">
        <f>+VLOOKUP($L390,Data_Validation!$A:$D,1,0)</f>
        <v>6482</v>
      </c>
      <c r="U390" s="156" t="str">
        <f>+VLOOKUP($L390,Data_Validation!$A:$D,3,0)</f>
        <v>Service</v>
      </c>
      <c r="V390" s="156" t="str">
        <f>+VLOOKUP($L390,Data_Validation!$A:$D,4,0)</f>
        <v>Loyer</v>
      </c>
      <c r="W390" s="156" t="str">
        <f>+VLOOKUP($L390,Data_Validation!$A:$E,5,0)</f>
        <v>$</v>
      </c>
      <c r="X390" s="156">
        <f>+VLOOKUP($L390,Data_Validation!$A:$F,6,0)</f>
        <v>0</v>
      </c>
    </row>
    <row r="391" spans="1:24" ht="15.75" hidden="1" customHeight="1">
      <c r="A391" s="1147" t="s">
        <v>1347</v>
      </c>
      <c r="B391" s="1147" t="s">
        <v>2657</v>
      </c>
      <c r="C391" s="1149">
        <v>5339.7</v>
      </c>
      <c r="D391" s="1149">
        <v>889.95</v>
      </c>
      <c r="E391" s="1149">
        <v>6229.65</v>
      </c>
      <c r="F391" s="1147" t="s">
        <v>401</v>
      </c>
      <c r="G391" s="1147" t="s">
        <v>2594</v>
      </c>
      <c r="H391" s="150"/>
      <c r="I391" s="151"/>
      <c r="J391" s="151"/>
      <c r="K391" s="151"/>
      <c r="L391" s="153" t="str">
        <f t="shared" si="30"/>
        <v>6486</v>
      </c>
      <c r="M391" s="154" t="str">
        <f t="shared" si="31"/>
        <v>ASSURANCE BATISSE &amp; AMEL.-SERVICE</v>
      </c>
      <c r="N391" s="155">
        <f>+IF(OR($Q391=Parametres!$G$2,$Q391=Parametres!$G$3),I391,C391)</f>
        <v>5339.7</v>
      </c>
      <c r="O391" s="1122">
        <f>+IF(OR($Q391=Parametres!$G$2,$Q391=Parametres!$G$3),J391,D391)</f>
        <v>889.95</v>
      </c>
      <c r="P391" s="155">
        <f>+IF(OR($Q391=Parametres!$G$2,$Q391=Parametres!$G$3),K391,E391)</f>
        <v>6229.65</v>
      </c>
      <c r="Q391" s="154" t="str">
        <f t="shared" si="32"/>
        <v>7-Dépenses</v>
      </c>
      <c r="R391" s="153" t="str">
        <f t="shared" si="33"/>
        <v>6186</v>
      </c>
      <c r="S391" s="154">
        <f t="shared" si="34"/>
        <v>0</v>
      </c>
      <c r="T391" s="156" t="str">
        <f>+VLOOKUP($L391,Data_Validation!$A:$D,1,0)</f>
        <v>6486</v>
      </c>
      <c r="U391" s="156" t="str">
        <f>+VLOOKUP($L391,Data_Validation!$A:$D,3,0)</f>
        <v>Service</v>
      </c>
      <c r="V391" s="156" t="str">
        <f>+VLOOKUP($L391,Data_Validation!$A:$D,4,0)</f>
        <v>Assurances</v>
      </c>
      <c r="W391" s="156" t="str">
        <f>+VLOOKUP($L391,Data_Validation!$A:$E,5,0)</f>
        <v>$</v>
      </c>
      <c r="X391" s="156">
        <f>+VLOOKUP($L391,Data_Validation!$A:$F,6,0)</f>
        <v>0</v>
      </c>
    </row>
    <row r="392" spans="1:24" ht="15" hidden="1" customHeight="1">
      <c r="A392" s="1147" t="s">
        <v>1340</v>
      </c>
      <c r="B392" s="1147" t="s">
        <v>2681</v>
      </c>
      <c r="C392" s="1149">
        <v>6926.4</v>
      </c>
      <c r="D392" s="1149">
        <v>1154.4000000000001</v>
      </c>
      <c r="E392" s="1149">
        <v>8080.8</v>
      </c>
      <c r="F392" s="1147" t="s">
        <v>401</v>
      </c>
      <c r="G392" s="1147" t="s">
        <v>2614</v>
      </c>
      <c r="H392" s="150"/>
      <c r="I392" s="157"/>
      <c r="J392" s="157"/>
      <c r="K392" s="157"/>
      <c r="L392" s="153" t="str">
        <f t="shared" si="30"/>
        <v>6487</v>
      </c>
      <c r="M392" s="154" t="str">
        <f t="shared" si="31"/>
        <v>TAXES FONCIERES - SERVICE</v>
      </c>
      <c r="N392" s="155">
        <f>+IF(OR($Q392=Parametres!$G$2,$Q392=Parametres!$G$3),I392,C392)</f>
        <v>6926.4</v>
      </c>
      <c r="O392" s="1122">
        <f>+IF(OR($Q392=Parametres!$G$2,$Q392=Parametres!$G$3),J392,D392)</f>
        <v>1154.4000000000001</v>
      </c>
      <c r="P392" s="155">
        <f>+IF(OR($Q392=Parametres!$G$2,$Q392=Parametres!$G$3),K392,E392)</f>
        <v>8080.8</v>
      </c>
      <c r="Q392" s="154" t="str">
        <f t="shared" si="32"/>
        <v>7-Dépenses</v>
      </c>
      <c r="R392" s="153" t="str">
        <f t="shared" si="33"/>
        <v>6187</v>
      </c>
      <c r="S392" s="154">
        <f t="shared" si="34"/>
        <v>0</v>
      </c>
      <c r="T392" s="156" t="str">
        <f>+VLOOKUP($L392,Data_Validation!$A:$D,1,0)</f>
        <v>6487</v>
      </c>
      <c r="U392" s="156" t="str">
        <f>+VLOOKUP($L392,Data_Validation!$A:$D,3,0)</f>
        <v>Service</v>
      </c>
      <c r="V392" s="156" t="str">
        <f>+VLOOKUP($L392,Data_Validation!$A:$D,4,0)</f>
        <v>Taxes foncières</v>
      </c>
      <c r="W392" s="156" t="str">
        <f>+VLOOKUP($L392,Data_Validation!$A:$E,5,0)</f>
        <v>$</v>
      </c>
      <c r="X392" s="156">
        <f>+VLOOKUP($L392,Data_Validation!$A:$F,6,0)</f>
        <v>0</v>
      </c>
    </row>
    <row r="393" spans="1:24" ht="15" hidden="1" customHeight="1">
      <c r="A393" s="1147" t="s">
        <v>1274</v>
      </c>
      <c r="B393" s="1147" t="s">
        <v>2663</v>
      </c>
      <c r="C393" s="1149">
        <v>4608</v>
      </c>
      <c r="D393" s="1149">
        <v>768</v>
      </c>
      <c r="E393" s="1149">
        <v>5376</v>
      </c>
      <c r="F393" s="1147" t="s">
        <v>401</v>
      </c>
      <c r="G393" s="1147" t="s">
        <v>2597</v>
      </c>
      <c r="H393" s="150"/>
      <c r="I393" s="151"/>
      <c r="J393" s="151"/>
      <c r="K393" s="151"/>
      <c r="L393" s="153" t="str">
        <f t="shared" si="30"/>
        <v>6493</v>
      </c>
      <c r="M393" s="154" t="str">
        <f t="shared" si="31"/>
        <v>AUTRE TAXES-SERVICE</v>
      </c>
      <c r="N393" s="155">
        <f>+IF(OR($Q393=Parametres!$G$2,$Q393=Parametres!$G$3),I393,C393)</f>
        <v>4608</v>
      </c>
      <c r="O393" s="1122">
        <f>+IF(OR($Q393=Parametres!$G$2,$Q393=Parametres!$G$3),J393,D393)</f>
        <v>768</v>
      </c>
      <c r="P393" s="155">
        <f>+IF(OR($Q393=Parametres!$G$2,$Q393=Parametres!$G$3),K393,E393)</f>
        <v>5376</v>
      </c>
      <c r="Q393" s="154" t="str">
        <f t="shared" si="32"/>
        <v>7-Dépenses</v>
      </c>
      <c r="R393" s="153" t="str">
        <f t="shared" si="33"/>
        <v>6193</v>
      </c>
      <c r="S393" s="154">
        <f t="shared" si="34"/>
        <v>0</v>
      </c>
      <c r="T393" s="156" t="str">
        <f>+VLOOKUP($L393,Data_Validation!$A:$D,1,0)</f>
        <v>6493</v>
      </c>
      <c r="U393" s="156" t="str">
        <f>+VLOOKUP($L393,Data_Validation!$A:$D,3,0)</f>
        <v>Service</v>
      </c>
      <c r="V393" s="156" t="str">
        <f>+VLOOKUP($L393,Data_Validation!$A:$D,4,0)</f>
        <v>Taxes d`affaires</v>
      </c>
      <c r="W393" s="156" t="str">
        <f>+VLOOKUP($L393,Data_Validation!$A:$E,5,0)</f>
        <v>$</v>
      </c>
      <c r="X393" s="156">
        <f>+VLOOKUP($L393,Data_Validation!$A:$F,6,0)</f>
        <v>0</v>
      </c>
    </row>
    <row r="394" spans="1:24" ht="15" hidden="1" customHeight="1">
      <c r="A394" s="1147" t="s">
        <v>1367</v>
      </c>
      <c r="B394" s="1147" t="s">
        <v>2699</v>
      </c>
      <c r="C394" s="1149">
        <v>9953.74</v>
      </c>
      <c r="D394" s="1149">
        <v>1492.1</v>
      </c>
      <c r="E394" s="1149">
        <v>11445.84</v>
      </c>
      <c r="F394" s="1147" t="s">
        <v>401</v>
      </c>
      <c r="G394" s="1147" t="s">
        <v>2635</v>
      </c>
      <c r="H394" s="150"/>
      <c r="I394" s="157"/>
      <c r="J394" s="157"/>
      <c r="K394" s="157"/>
      <c r="L394" s="153" t="str">
        <f t="shared" si="30"/>
        <v>6494</v>
      </c>
      <c r="M394" s="154" t="str">
        <f t="shared" si="31"/>
        <v>FRAIS PROFESSIONNEL-SERVICE</v>
      </c>
      <c r="N394" s="155">
        <f>+IF(OR($Q394=Parametres!$G$2,$Q394=Parametres!$G$3),I394,C394)</f>
        <v>9953.74</v>
      </c>
      <c r="O394" s="1122">
        <f>+IF(OR($Q394=Parametres!$G$2,$Q394=Parametres!$G$3),J394,D394)</f>
        <v>1492.1</v>
      </c>
      <c r="P394" s="155">
        <f>+IF(OR($Q394=Parametres!$G$2,$Q394=Parametres!$G$3),K394,E394)</f>
        <v>11445.84</v>
      </c>
      <c r="Q394" s="154" t="str">
        <f t="shared" si="32"/>
        <v>7-Dépenses</v>
      </c>
      <c r="R394" s="153" t="str">
        <f t="shared" si="33"/>
        <v>6194</v>
      </c>
      <c r="S394" s="154">
        <f t="shared" si="34"/>
        <v>0</v>
      </c>
      <c r="T394" s="156" t="str">
        <f>+VLOOKUP($L394,Data_Validation!$A:$D,1,0)</f>
        <v>6494</v>
      </c>
      <c r="U394" s="156" t="str">
        <f>+VLOOKUP($L394,Data_Validation!$A:$D,3,0)</f>
        <v>Service</v>
      </c>
      <c r="V394" s="156" t="str">
        <f>+VLOOKUP($L394,Data_Validation!$A:$D,4,0)</f>
        <v>Honoraires</v>
      </c>
      <c r="W394" s="156" t="str">
        <f>+VLOOKUP($L394,Data_Validation!$A:$E,5,0)</f>
        <v>$</v>
      </c>
      <c r="X394" s="156">
        <f>+VLOOKUP($L394,Data_Validation!$A:$F,6,0)</f>
        <v>0</v>
      </c>
    </row>
    <row r="395" spans="1:24" ht="15.75" hidden="1" customHeight="1">
      <c r="A395" s="1147" t="s">
        <v>399</v>
      </c>
      <c r="B395" s="1147" t="s">
        <v>2627</v>
      </c>
      <c r="C395" s="1149">
        <v>154.5</v>
      </c>
      <c r="D395" s="1149">
        <v>187.47</v>
      </c>
      <c r="E395" s="1149">
        <v>341.97</v>
      </c>
      <c r="F395" s="1147" t="s">
        <v>401</v>
      </c>
      <c r="G395" s="1147" t="s">
        <v>2467</v>
      </c>
      <c r="H395" s="150"/>
      <c r="I395" s="151"/>
      <c r="J395" s="151"/>
      <c r="K395" s="151"/>
      <c r="L395" s="153" t="str">
        <f t="shared" si="30"/>
        <v>6503</v>
      </c>
      <c r="M395" s="154" t="str">
        <f t="shared" si="31"/>
        <v>RELAT. A LA CLIENTELE &amp; AJUST.</v>
      </c>
      <c r="N395" s="155">
        <f>+IF(OR($Q395=Parametres!$G$2,$Q395=Parametres!$G$3),I395,C395)</f>
        <v>154.5</v>
      </c>
      <c r="O395" s="1122">
        <f>+IF(OR($Q395=Parametres!$G$2,$Q395=Parametres!$G$3),J395,D395)</f>
        <v>187.47</v>
      </c>
      <c r="P395" s="155">
        <f>+IF(OR($Q395=Parametres!$G$2,$Q395=Parametres!$G$3),K395,E395)</f>
        <v>341.97</v>
      </c>
      <c r="Q395" s="154" t="str">
        <f t="shared" si="32"/>
        <v>7-Dépenses</v>
      </c>
      <c r="R395" s="153" t="str">
        <f t="shared" si="33"/>
        <v>6112</v>
      </c>
      <c r="S395" s="154">
        <f t="shared" si="34"/>
        <v>0</v>
      </c>
      <c r="T395" s="156" t="str">
        <f>+VLOOKUP($L395,Data_Validation!$A:$D,1,0)</f>
        <v>6503</v>
      </c>
      <c r="U395" s="156" t="str">
        <f>+VLOOKUP($L395,Data_Validation!$A:$D,3,0)</f>
        <v>Carrosserie</v>
      </c>
      <c r="V395" s="156" t="str">
        <f>+VLOOKUP($L395,Data_Validation!$A:$D,4,0)</f>
        <v>Service gratuit 2</v>
      </c>
      <c r="W395" s="156" t="str">
        <f>+VLOOKUP($L395,Data_Validation!$A:$E,5,0)</f>
        <v>$</v>
      </c>
      <c r="X395" s="156">
        <f>+VLOOKUP($L395,Data_Validation!$A:$F,6,0)</f>
        <v>0</v>
      </c>
    </row>
    <row r="396" spans="1:24" ht="15" hidden="1" customHeight="1">
      <c r="A396" s="1147" t="s">
        <v>1374</v>
      </c>
      <c r="B396" s="1147" t="s">
        <v>2559</v>
      </c>
      <c r="C396" s="1149">
        <v>100.57</v>
      </c>
      <c r="D396" s="1149">
        <v>0.08</v>
      </c>
      <c r="E396" s="1149">
        <v>100.65</v>
      </c>
      <c r="F396" s="1147" t="s">
        <v>401</v>
      </c>
      <c r="G396" s="1147" t="s">
        <v>2113</v>
      </c>
      <c r="H396" s="150"/>
      <c r="I396" s="157"/>
      <c r="J396" s="157"/>
      <c r="K396" s="157"/>
      <c r="L396" s="153" t="str">
        <f t="shared" si="30"/>
        <v>6514</v>
      </c>
      <c r="M396" s="154" t="str">
        <f t="shared" si="31"/>
        <v>PUBLICITE</v>
      </c>
      <c r="N396" s="155">
        <f>+IF(OR($Q396=Parametres!$G$2,$Q396=Parametres!$G$3),I396,C396)</f>
        <v>100.57</v>
      </c>
      <c r="O396" s="1122">
        <f>+IF(OR($Q396=Parametres!$G$2,$Q396=Parametres!$G$3),J396,D396)</f>
        <v>0.08</v>
      </c>
      <c r="P396" s="155">
        <f>+IF(OR($Q396=Parametres!$G$2,$Q396=Parametres!$G$3),K396,E396)</f>
        <v>100.65</v>
      </c>
      <c r="Q396" s="154" t="str">
        <f t="shared" si="32"/>
        <v>7-Dépenses</v>
      </c>
      <c r="R396" s="153" t="str">
        <f t="shared" si="33"/>
        <v>6114</v>
      </c>
      <c r="S396" s="154">
        <f t="shared" si="34"/>
        <v>0</v>
      </c>
      <c r="T396" s="156" t="str">
        <f>+VLOOKUP($L396,Data_Validation!$A:$D,1,0)</f>
        <v>6514</v>
      </c>
      <c r="U396" s="156" t="str">
        <f>+VLOOKUP($L396,Data_Validation!$A:$D,3,0)</f>
        <v>Carrosserie</v>
      </c>
      <c r="V396" s="156" t="str">
        <f>+VLOOKUP($L396,Data_Validation!$A:$D,4,0)</f>
        <v>Publicité 2</v>
      </c>
      <c r="W396" s="156" t="str">
        <f>+VLOOKUP($L396,Data_Validation!$A:$E,5,0)</f>
        <v>$</v>
      </c>
      <c r="X396" s="156">
        <f>+VLOOKUP($L396,Data_Validation!$A:$F,6,0)</f>
        <v>0</v>
      </c>
    </row>
    <row r="397" spans="1:24" ht="15" hidden="1" customHeight="1">
      <c r="A397" s="1147" t="s">
        <v>1259</v>
      </c>
      <c r="B397" s="1147" t="s">
        <v>2647</v>
      </c>
      <c r="C397" s="1149">
        <v>1143.76</v>
      </c>
      <c r="D397" s="1149">
        <v>163.54</v>
      </c>
      <c r="E397" s="1149">
        <v>1307.3</v>
      </c>
      <c r="F397" s="1147" t="s">
        <v>401</v>
      </c>
      <c r="G397" s="1147" t="s">
        <v>2648</v>
      </c>
      <c r="H397" s="150"/>
      <c r="I397" s="152"/>
      <c r="J397" s="152"/>
      <c r="K397" s="152"/>
      <c r="L397" s="153" t="str">
        <f t="shared" si="30"/>
        <v>6521</v>
      </c>
      <c r="M397" s="154" t="str">
        <f t="shared" si="31"/>
        <v>SALAIRES - PROPRIETAIRES</v>
      </c>
      <c r="N397" s="155">
        <f>+IF(OR($Q397=Parametres!$G$2,$Q397=Parametres!$G$3),I397,C397)</f>
        <v>1143.76</v>
      </c>
      <c r="O397" s="1120">
        <f>+IF(OR($Q397=Parametres!$G$2,$Q397=Parametres!$G$3),J397,D397)</f>
        <v>163.54</v>
      </c>
      <c r="P397" s="155">
        <f>+IF(OR($Q397=Parametres!$G$2,$Q397=Parametres!$G$3),K397,E397)</f>
        <v>1307.3</v>
      </c>
      <c r="Q397" s="154" t="str">
        <f t="shared" si="32"/>
        <v>7-Dépenses</v>
      </c>
      <c r="R397" s="153" t="str">
        <f t="shared" si="33"/>
        <v>6121</v>
      </c>
      <c r="S397" s="154">
        <f t="shared" si="34"/>
        <v>0</v>
      </c>
      <c r="T397" s="156" t="str">
        <f>+VLOOKUP($L397,Data_Validation!$A:$D,1,0)</f>
        <v>6521</v>
      </c>
      <c r="U397" s="156" t="str">
        <f>+VLOOKUP($L397,Data_Validation!$A:$D,3,0)</f>
        <v>Carrosserie</v>
      </c>
      <c r="V397" s="156" t="str">
        <f>+VLOOKUP($L397,Data_Validation!$A:$D,4,0)</f>
        <v>Salaires propriétaire</v>
      </c>
      <c r="W397" s="156" t="str">
        <f>+VLOOKUP($L397,Data_Validation!$A:$E,5,0)</f>
        <v>$</v>
      </c>
      <c r="X397" s="156">
        <f>+VLOOKUP($L397,Data_Validation!$A:$F,6,0)</f>
        <v>0</v>
      </c>
    </row>
    <row r="398" spans="1:24" ht="15" hidden="1" customHeight="1">
      <c r="A398" s="1147" t="s">
        <v>2624</v>
      </c>
      <c r="B398" s="1147" t="s">
        <v>2625</v>
      </c>
      <c r="C398" s="1149">
        <v>4854.72</v>
      </c>
      <c r="D398" s="1149">
        <v>809.12</v>
      </c>
      <c r="E398" s="1149">
        <v>5663.84</v>
      </c>
      <c r="F398" s="1147" t="s">
        <v>401</v>
      </c>
      <c r="G398" s="1147" t="s">
        <v>2626</v>
      </c>
      <c r="H398" s="150"/>
      <c r="I398" s="157"/>
      <c r="J398" s="157"/>
      <c r="K398" s="157"/>
      <c r="L398" s="153" t="str">
        <f t="shared" si="30"/>
        <v>6522</v>
      </c>
      <c r="M398" s="154" t="str">
        <f t="shared" si="31"/>
        <v>SAL SUPERVISION / GERANT</v>
      </c>
      <c r="N398" s="155">
        <f>+IF(OR($Q398=Parametres!$G$2,$Q398=Parametres!$G$3),I398,C398)</f>
        <v>4854.72</v>
      </c>
      <c r="O398" s="1122">
        <f>+IF(OR($Q398=Parametres!$G$2,$Q398=Parametres!$G$3),J398,D398)</f>
        <v>809.12</v>
      </c>
      <c r="P398" s="155">
        <f>+IF(OR($Q398=Parametres!$G$2,$Q398=Parametres!$G$3),K398,E398)</f>
        <v>5663.84</v>
      </c>
      <c r="Q398" s="154" t="str">
        <f t="shared" si="32"/>
        <v>7-Dépenses</v>
      </c>
      <c r="R398" s="153" t="str">
        <f t="shared" si="33"/>
        <v>6122</v>
      </c>
      <c r="S398" s="154">
        <f t="shared" si="34"/>
        <v>0</v>
      </c>
      <c r="T398" s="156" t="str">
        <f>+VLOOKUP($L398,Data_Validation!$A:$D,1,0)</f>
        <v>6522</v>
      </c>
      <c r="U398" s="156" t="str">
        <f>+VLOOKUP($L398,Data_Validation!$A:$D,3,0)</f>
        <v>Carrosserie</v>
      </c>
      <c r="V398" s="156" t="str">
        <f>+VLOOKUP($L398,Data_Validation!$A:$D,4,0)</f>
        <v>Salaires cadres</v>
      </c>
      <c r="W398" s="156" t="str">
        <f>+VLOOKUP($L398,Data_Validation!$A:$E,5,0)</f>
        <v>$</v>
      </c>
      <c r="X398" s="156">
        <f>+VLOOKUP($L398,Data_Validation!$A:$F,6,0)</f>
        <v>0</v>
      </c>
    </row>
    <row r="399" spans="1:24" ht="15.75" hidden="1" customHeight="1">
      <c r="A399" s="1147" t="s">
        <v>1266</v>
      </c>
      <c r="B399" s="1147" t="s">
        <v>2678</v>
      </c>
      <c r="C399" s="1149">
        <v>3711.37</v>
      </c>
      <c r="D399" s="1149">
        <v>498.5</v>
      </c>
      <c r="E399" s="1149">
        <v>4209.87</v>
      </c>
      <c r="F399" s="1147" t="s">
        <v>401</v>
      </c>
      <c r="G399" s="1147" t="s">
        <v>2679</v>
      </c>
      <c r="H399" s="150"/>
      <c r="I399" s="151"/>
      <c r="J399" s="151"/>
      <c r="K399" s="151"/>
      <c r="L399" s="153" t="str">
        <f t="shared" si="30"/>
        <v>6523</v>
      </c>
      <c r="M399" s="154" t="str">
        <f t="shared" si="31"/>
        <v>SAL. &amp; RENUM. CLERICAL</v>
      </c>
      <c r="N399" s="155">
        <f>+IF(OR($Q399=Parametres!$G$2,$Q399=Parametres!$G$3),I399,C399)</f>
        <v>3711.37</v>
      </c>
      <c r="O399" s="1122">
        <f>+IF(OR($Q399=Parametres!$G$2,$Q399=Parametres!$G$3),J399,D399)</f>
        <v>498.5</v>
      </c>
      <c r="P399" s="155">
        <f>+IF(OR($Q399=Parametres!$G$2,$Q399=Parametres!$G$3),K399,E399)</f>
        <v>4209.87</v>
      </c>
      <c r="Q399" s="154" t="str">
        <f t="shared" si="32"/>
        <v>7-Dépenses</v>
      </c>
      <c r="R399" s="153" t="str">
        <f t="shared" si="33"/>
        <v>6123</v>
      </c>
      <c r="S399" s="154">
        <f t="shared" si="34"/>
        <v>0</v>
      </c>
      <c r="T399" s="156" t="str">
        <f>+VLOOKUP($L399,Data_Validation!$A:$D,1,0)</f>
        <v>6523</v>
      </c>
      <c r="U399" s="156" t="str">
        <f>+VLOOKUP($L399,Data_Validation!$A:$D,3,0)</f>
        <v>Carrosserie</v>
      </c>
      <c r="V399" s="156" t="str">
        <f>+VLOOKUP($L399,Data_Validation!$A:$D,4,0)</f>
        <v>Salaires commis</v>
      </c>
      <c r="W399" s="156" t="str">
        <f>+VLOOKUP($L399,Data_Validation!$A:$E,5,0)</f>
        <v>$</v>
      </c>
      <c r="X399" s="156">
        <f>+VLOOKUP($L399,Data_Validation!$A:$F,6,0)</f>
        <v>0</v>
      </c>
    </row>
    <row r="400" spans="1:24" ht="15" hidden="1" customHeight="1">
      <c r="A400" s="1147" t="s">
        <v>1249</v>
      </c>
      <c r="B400" s="1147" t="s">
        <v>2734</v>
      </c>
      <c r="C400" s="1149">
        <v>20271.009999999998</v>
      </c>
      <c r="D400" s="1149">
        <v>4370.16</v>
      </c>
      <c r="E400" s="1149">
        <v>24641.17</v>
      </c>
      <c r="F400" s="1147" t="s">
        <v>401</v>
      </c>
      <c r="G400" s="1147" t="s">
        <v>2735</v>
      </c>
      <c r="H400" s="150"/>
      <c r="I400" s="157"/>
      <c r="J400" s="157"/>
      <c r="K400" s="157"/>
      <c r="L400" s="153" t="str">
        <f t="shared" si="30"/>
        <v>6524</v>
      </c>
      <c r="M400" s="154" t="str">
        <f t="shared" si="31"/>
        <v>SALAIRES &amp; RENUM. - AUTRES</v>
      </c>
      <c r="N400" s="155">
        <f>+IF(OR($Q400=Parametres!$G$2,$Q400=Parametres!$G$3),I400,C400)</f>
        <v>20271.009999999998</v>
      </c>
      <c r="O400" s="1122">
        <f>+IF(OR($Q400=Parametres!$G$2,$Q400=Parametres!$G$3),J400,D400)</f>
        <v>4370.16</v>
      </c>
      <c r="P400" s="155">
        <f>+IF(OR($Q400=Parametres!$G$2,$Q400=Parametres!$G$3),K400,E400)</f>
        <v>24641.17</v>
      </c>
      <c r="Q400" s="154" t="str">
        <f t="shared" si="32"/>
        <v>7-Dépenses</v>
      </c>
      <c r="R400" s="153" t="str">
        <f t="shared" si="33"/>
        <v>6124</v>
      </c>
      <c r="S400" s="154">
        <f t="shared" si="34"/>
        <v>0</v>
      </c>
      <c r="T400" s="156" t="str">
        <f>+VLOOKUP($L400,Data_Validation!$A:$D,1,0)</f>
        <v>6524</v>
      </c>
      <c r="U400" s="156" t="str">
        <f>+VLOOKUP($L400,Data_Validation!$A:$D,3,0)</f>
        <v>Carrosserie</v>
      </c>
      <c r="V400" s="156" t="str">
        <f>+VLOOKUP($L400,Data_Validation!$A:$D,4,0)</f>
        <v>Salaires autres</v>
      </c>
      <c r="W400" s="156" t="str">
        <f>+VLOOKUP($L400,Data_Validation!$A:$E,5,0)</f>
        <v>$</v>
      </c>
      <c r="X400" s="156">
        <f>+VLOOKUP($L400,Data_Validation!$A:$F,6,0)</f>
        <v>0</v>
      </c>
    </row>
    <row r="401" spans="1:24" ht="15" hidden="1" customHeight="1">
      <c r="A401" s="1147" t="s">
        <v>1330</v>
      </c>
      <c r="B401" s="1147" t="s">
        <v>2720</v>
      </c>
      <c r="C401" s="1149">
        <v>15861.73</v>
      </c>
      <c r="D401" s="1149">
        <v>1711.56</v>
      </c>
      <c r="E401" s="1149">
        <v>17573.29</v>
      </c>
      <c r="F401" s="1147" t="s">
        <v>401</v>
      </c>
      <c r="G401" s="1147" t="s">
        <v>2721</v>
      </c>
      <c r="H401" s="150"/>
      <c r="I401" s="151"/>
      <c r="J401" s="151"/>
      <c r="K401" s="151"/>
      <c r="L401" s="153" t="str">
        <f t="shared" si="30"/>
        <v>6525</v>
      </c>
      <c r="M401" s="154" t="str">
        <f t="shared" si="31"/>
        <v>SALAIRE SPECIALISTES</v>
      </c>
      <c r="N401" s="155">
        <f>+IF(OR($Q401=Parametres!$G$2,$Q401=Parametres!$G$3),I401,C401)</f>
        <v>15861.73</v>
      </c>
      <c r="O401" s="1122">
        <f>+IF(OR($Q401=Parametres!$G$2,$Q401=Parametres!$G$3),J401,D401)</f>
        <v>1711.56</v>
      </c>
      <c r="P401" s="155">
        <f>+IF(OR($Q401=Parametres!$G$2,$Q401=Parametres!$G$3),K401,E401)</f>
        <v>17573.29</v>
      </c>
      <c r="Q401" s="154" t="str">
        <f t="shared" si="32"/>
        <v>7-Dépenses</v>
      </c>
      <c r="R401" s="153" t="str">
        <f t="shared" si="33"/>
        <v>6125</v>
      </c>
      <c r="S401" s="154">
        <f t="shared" si="34"/>
        <v>0</v>
      </c>
      <c r="T401" s="156" t="str">
        <f>+VLOOKUP($L401,Data_Validation!$A:$D,1,0)</f>
        <v>6525</v>
      </c>
      <c r="U401" s="156" t="str">
        <f>+VLOOKUP($L401,Data_Validation!$A:$D,3,0)</f>
        <v>Carrosserie</v>
      </c>
      <c r="V401" s="156" t="str">
        <f>+VLOOKUP($L401,Data_Validation!$A:$D,4,0)</f>
        <v>Salaires spécialistes</v>
      </c>
      <c r="W401" s="156" t="str">
        <f>+VLOOKUP($L401,Data_Validation!$A:$E,5,0)</f>
        <v>$</v>
      </c>
      <c r="X401" s="156">
        <f>+VLOOKUP($L401,Data_Validation!$A:$F,6,0)</f>
        <v>0</v>
      </c>
    </row>
    <row r="402" spans="1:24" ht="15" hidden="1" customHeight="1">
      <c r="A402" s="1147" t="s">
        <v>1211</v>
      </c>
      <c r="B402" s="1147" t="s">
        <v>2640</v>
      </c>
      <c r="C402" s="1149">
        <v>2897.79</v>
      </c>
      <c r="D402" s="1149">
        <v>443.68</v>
      </c>
      <c r="E402" s="1149">
        <v>3341.47</v>
      </c>
      <c r="F402" s="1147" t="s">
        <v>401</v>
      </c>
      <c r="G402" s="1147" t="s">
        <v>2641</v>
      </c>
      <c r="H402" s="948"/>
      <c r="I402" s="947"/>
      <c r="J402" s="947"/>
      <c r="K402" s="947"/>
      <c r="L402" s="153" t="str">
        <f t="shared" si="30"/>
        <v>6529</v>
      </c>
      <c r="M402" s="154" t="str">
        <f t="shared" si="31"/>
        <v>ABS.,VACANCES &amp; SAL. JOURS FER</v>
      </c>
      <c r="N402" s="155">
        <f>+IF(OR($Q402=Parametres!$G$2,$Q402=Parametres!$G$3),I402,C402)</f>
        <v>2897.79</v>
      </c>
      <c r="O402" s="1120">
        <f>+IF(OR($Q402=Parametres!$G$2,$Q402=Parametres!$G$3),J402,D402)</f>
        <v>443.68</v>
      </c>
      <c r="P402" s="155">
        <f>+IF(OR($Q402=Parametres!$G$2,$Q402=Parametres!$G$3),K402,E402)</f>
        <v>3341.47</v>
      </c>
      <c r="Q402" s="154" t="str">
        <f t="shared" si="32"/>
        <v>7-Dépenses</v>
      </c>
      <c r="R402" s="153" t="str">
        <f t="shared" si="33"/>
        <v>6129</v>
      </c>
      <c r="S402" s="154">
        <f t="shared" si="34"/>
        <v>0</v>
      </c>
      <c r="T402" s="156" t="str">
        <f>+VLOOKUP($L402,Data_Validation!$A:$D,1,0)</f>
        <v>6529</v>
      </c>
      <c r="U402" s="156" t="str">
        <f>+VLOOKUP($L402,Data_Validation!$A:$D,3,0)</f>
        <v>Carrosserie</v>
      </c>
      <c r="V402" s="156" t="str">
        <f>+VLOOKUP($L402,Data_Validation!$A:$D,4,0)</f>
        <v>Salaires en absences</v>
      </c>
      <c r="W402" s="156" t="str">
        <f>+VLOOKUP($L402,Data_Validation!$A:$E,5,0)</f>
        <v>$</v>
      </c>
      <c r="X402" s="156">
        <f>+VLOOKUP($L402,Data_Validation!$A:$F,6,0)</f>
        <v>0</v>
      </c>
    </row>
    <row r="403" spans="1:24" ht="15.75" hidden="1" customHeight="1">
      <c r="A403" s="1147" t="s">
        <v>1252</v>
      </c>
      <c r="B403" s="1147" t="s">
        <v>2585</v>
      </c>
      <c r="C403" s="1149">
        <v>865.9</v>
      </c>
      <c r="D403" s="1149">
        <v>147.72</v>
      </c>
      <c r="E403" s="1149">
        <v>1013.62</v>
      </c>
      <c r="F403" s="1147" t="s">
        <v>401</v>
      </c>
      <c r="G403" s="1147" t="s">
        <v>2586</v>
      </c>
      <c r="H403" s="150"/>
      <c r="I403" s="157"/>
      <c r="J403" s="157"/>
      <c r="K403" s="157"/>
      <c r="L403" s="153" t="str">
        <f t="shared" si="30"/>
        <v>6531</v>
      </c>
      <c r="M403" s="154" t="str">
        <f t="shared" si="31"/>
        <v>CSST</v>
      </c>
      <c r="N403" s="155">
        <f>+IF(OR($Q403=Parametres!$G$2,$Q403=Parametres!$G$3),I403,C403)</f>
        <v>865.9</v>
      </c>
      <c r="O403" s="1122">
        <f>+IF(OR($Q403=Parametres!$G$2,$Q403=Parametres!$G$3),J403,D403)</f>
        <v>147.72</v>
      </c>
      <c r="P403" s="155">
        <f>+IF(OR($Q403=Parametres!$G$2,$Q403=Parametres!$G$3),K403,E403)</f>
        <v>1013.62</v>
      </c>
      <c r="Q403" s="154" t="str">
        <f t="shared" si="32"/>
        <v>7-Dépenses</v>
      </c>
      <c r="R403" s="153" t="str">
        <f t="shared" si="33"/>
        <v>6131</v>
      </c>
      <c r="S403" s="154">
        <f t="shared" si="34"/>
        <v>0</v>
      </c>
      <c r="T403" s="156" t="str">
        <f>+VLOOKUP($L403,Data_Validation!$A:$D,1,0)</f>
        <v>6531</v>
      </c>
      <c r="U403" s="156" t="str">
        <f>+VLOOKUP($L403,Data_Validation!$A:$D,3,0)</f>
        <v>Carrosserie</v>
      </c>
      <c r="V403" s="156" t="str">
        <f>+VLOOKUP($L403,Data_Validation!$A:$D,4,0)</f>
        <v>Csst</v>
      </c>
      <c r="W403" s="156" t="str">
        <f>+VLOOKUP($L403,Data_Validation!$A:$E,5,0)</f>
        <v>$</v>
      </c>
      <c r="X403" s="156">
        <f>+VLOOKUP($L403,Data_Validation!$A:$F,6,0)</f>
        <v>0</v>
      </c>
    </row>
    <row r="404" spans="1:24" ht="15" hidden="1" customHeight="1">
      <c r="A404" s="1147" t="s">
        <v>1283</v>
      </c>
      <c r="B404" s="1147" t="s">
        <v>2684</v>
      </c>
      <c r="C404" s="1149">
        <v>5195.37</v>
      </c>
      <c r="D404" s="1149">
        <v>886.33</v>
      </c>
      <c r="E404" s="1149">
        <v>6081.7</v>
      </c>
      <c r="F404" s="1147" t="s">
        <v>401</v>
      </c>
      <c r="G404" s="1147" t="s">
        <v>2685</v>
      </c>
      <c r="H404" s="150"/>
      <c r="I404" s="151"/>
      <c r="J404" s="151"/>
      <c r="K404" s="151"/>
      <c r="L404" s="153" t="str">
        <f t="shared" si="30"/>
        <v>6532</v>
      </c>
      <c r="M404" s="154" t="str">
        <f t="shared" si="31"/>
        <v>RRQ RAMQ AC</v>
      </c>
      <c r="N404" s="155">
        <f>+IF(OR($Q404=Parametres!$G$2,$Q404=Parametres!$G$3),I404,C404)</f>
        <v>5195.37</v>
      </c>
      <c r="O404" s="1122">
        <f>+IF(OR($Q404=Parametres!$G$2,$Q404=Parametres!$G$3),J404,D404)</f>
        <v>886.33</v>
      </c>
      <c r="P404" s="155">
        <f>+IF(OR($Q404=Parametres!$G$2,$Q404=Parametres!$G$3),K404,E404)</f>
        <v>6081.7</v>
      </c>
      <c r="Q404" s="154" t="str">
        <f t="shared" si="32"/>
        <v>7-Dépenses</v>
      </c>
      <c r="R404" s="153" t="str">
        <f t="shared" si="33"/>
        <v>6132</v>
      </c>
      <c r="S404" s="154">
        <f t="shared" si="34"/>
        <v>0</v>
      </c>
      <c r="T404" s="156" t="str">
        <f>+VLOOKUP($L404,Data_Validation!$A:$D,1,0)</f>
        <v>6532</v>
      </c>
      <c r="U404" s="156" t="str">
        <f>+VLOOKUP($L404,Data_Validation!$A:$D,3,0)</f>
        <v>Carrosserie</v>
      </c>
      <c r="V404" s="156" t="str">
        <f>+VLOOKUP($L404,Data_Validation!$A:$D,4,0)</f>
        <v>Déduction à la source</v>
      </c>
      <c r="W404" s="156" t="str">
        <f>+VLOOKUP($L404,Data_Validation!$A:$E,5,0)</f>
        <v>$</v>
      </c>
      <c r="X404" s="156">
        <f>+VLOOKUP($L404,Data_Validation!$A:$F,6,0)</f>
        <v>0</v>
      </c>
    </row>
    <row r="405" spans="1:24" ht="15" hidden="1" customHeight="1">
      <c r="A405" s="1147" t="s">
        <v>1305</v>
      </c>
      <c r="B405" s="1147" t="s">
        <v>2693</v>
      </c>
      <c r="C405" s="1149">
        <v>3723.34</v>
      </c>
      <c r="D405" s="1149">
        <v>635.21</v>
      </c>
      <c r="E405" s="1149">
        <v>4358.55</v>
      </c>
      <c r="F405" s="1147" t="s">
        <v>401</v>
      </c>
      <c r="G405" s="1147" t="s">
        <v>2694</v>
      </c>
      <c r="H405" s="150"/>
      <c r="I405" s="157"/>
      <c r="J405" s="157"/>
      <c r="K405" s="157"/>
      <c r="L405" s="153" t="str">
        <f t="shared" si="30"/>
        <v>6539</v>
      </c>
      <c r="M405" s="154" t="str">
        <f t="shared" si="31"/>
        <v>ASSURANCE GROUPE</v>
      </c>
      <c r="N405" s="155">
        <f>+IF(OR($Q405=Parametres!$G$2,$Q405=Parametres!$G$3),I405,C405)</f>
        <v>3723.34</v>
      </c>
      <c r="O405" s="1122">
        <f>+IF(OR($Q405=Parametres!$G$2,$Q405=Parametres!$G$3),J405,D405)</f>
        <v>635.21</v>
      </c>
      <c r="P405" s="155">
        <f>+IF(OR($Q405=Parametres!$G$2,$Q405=Parametres!$G$3),K405,E405)</f>
        <v>4358.55</v>
      </c>
      <c r="Q405" s="154" t="str">
        <f t="shared" si="32"/>
        <v>7-Dépenses</v>
      </c>
      <c r="R405" s="153" t="str">
        <f t="shared" si="33"/>
        <v>6139</v>
      </c>
      <c r="S405" s="154">
        <f t="shared" si="34"/>
        <v>0</v>
      </c>
      <c r="T405" s="156" t="str">
        <f>+VLOOKUP($L405,Data_Validation!$A:$D,1,0)</f>
        <v>6539</v>
      </c>
      <c r="U405" s="156" t="str">
        <f>+VLOOKUP($L405,Data_Validation!$A:$D,3,0)</f>
        <v>Carrosserie</v>
      </c>
      <c r="V405" s="156" t="str">
        <f>+VLOOKUP($L405,Data_Validation!$A:$D,4,0)</f>
        <v>Bénéfices marginaux</v>
      </c>
      <c r="W405" s="156" t="str">
        <f>+VLOOKUP($L405,Data_Validation!$A:$E,5,0)</f>
        <v>$</v>
      </c>
      <c r="X405" s="156">
        <f>+VLOOKUP($L405,Data_Validation!$A:$F,6,0)</f>
        <v>0</v>
      </c>
    </row>
    <row r="406" spans="1:24" ht="15" hidden="1" customHeight="1">
      <c r="A406" s="1147" t="s">
        <v>1157</v>
      </c>
      <c r="B406" s="1147" t="s">
        <v>2562</v>
      </c>
      <c r="C406" s="1149">
        <v>122.69</v>
      </c>
      <c r="D406" s="1149">
        <v>0</v>
      </c>
      <c r="E406" s="1149">
        <v>122.69</v>
      </c>
      <c r="F406" s="1147" t="s">
        <v>401</v>
      </c>
      <c r="G406" s="1147" t="s">
        <v>2563</v>
      </c>
      <c r="H406" s="150"/>
      <c r="I406" s="151"/>
      <c r="J406" s="151"/>
      <c r="K406" s="151"/>
      <c r="L406" s="153" t="str">
        <f t="shared" si="30"/>
        <v>6542</v>
      </c>
      <c r="M406" s="154" t="str">
        <f t="shared" si="31"/>
        <v>FOURNITURES &amp; PETITS OUTILS</v>
      </c>
      <c r="N406" s="155">
        <f>+IF(OR($Q406=Parametres!$G$2,$Q406=Parametres!$G$3),I406,C406)</f>
        <v>122.69</v>
      </c>
      <c r="O406" s="1122">
        <f>+IF(OR($Q406=Parametres!$G$2,$Q406=Parametres!$G$3),J406,D406)</f>
        <v>0</v>
      </c>
      <c r="P406" s="155">
        <f>+IF(OR($Q406=Parametres!$G$2,$Q406=Parametres!$G$3),K406,E406)</f>
        <v>122.69</v>
      </c>
      <c r="Q406" s="154" t="str">
        <f t="shared" si="32"/>
        <v>7-Dépenses</v>
      </c>
      <c r="R406" s="153" t="str">
        <f t="shared" si="33"/>
        <v>6142</v>
      </c>
      <c r="S406" s="154">
        <f t="shared" si="34"/>
        <v>0</v>
      </c>
      <c r="T406" s="156" t="str">
        <f>+VLOOKUP($L406,Data_Validation!$A:$D,1,0)</f>
        <v>6542</v>
      </c>
      <c r="U406" s="156" t="str">
        <f>+VLOOKUP($L406,Data_Validation!$A:$D,3,0)</f>
        <v>Carrosserie</v>
      </c>
      <c r="V406" s="156" t="str">
        <f>+VLOOKUP($L406,Data_Validation!$A:$D,4,0)</f>
        <v>Fournitures autres</v>
      </c>
      <c r="W406" s="156" t="str">
        <f>+VLOOKUP($L406,Data_Validation!$A:$E,5,0)</f>
        <v>$</v>
      </c>
      <c r="X406" s="156">
        <f>+VLOOKUP($L406,Data_Validation!$A:$F,6,0)</f>
        <v>0</v>
      </c>
    </row>
    <row r="407" spans="1:24" ht="15.75" hidden="1" customHeight="1">
      <c r="A407" s="1147" t="s">
        <v>934</v>
      </c>
      <c r="B407" s="1147" t="s">
        <v>2560</v>
      </c>
      <c r="C407" s="1149">
        <v>107.2</v>
      </c>
      <c r="D407" s="1149">
        <v>6.2</v>
      </c>
      <c r="E407" s="1149">
        <v>113.4</v>
      </c>
      <c r="F407" s="1147" t="s">
        <v>401</v>
      </c>
      <c r="G407" s="1147" t="s">
        <v>2561</v>
      </c>
      <c r="H407" s="948"/>
      <c r="I407" s="947"/>
      <c r="J407" s="947"/>
      <c r="K407" s="947"/>
      <c r="L407" s="153" t="str">
        <f t="shared" si="30"/>
        <v>6544</v>
      </c>
      <c r="M407" s="579" t="str">
        <f t="shared" si="31"/>
        <v>FORMATION</v>
      </c>
      <c r="N407" s="155">
        <f>+IF(OR($Q407=Parametres!$G$2,$Q407=Parametres!$G$3),I407,C407)</f>
        <v>107.2</v>
      </c>
      <c r="O407" s="1120">
        <f>+IF(OR($Q407=Parametres!$G$2,$Q407=Parametres!$G$3),J407,D407)</f>
        <v>6.2</v>
      </c>
      <c r="P407" s="581">
        <f>+IF(OR($Q407=Parametres!$G$2,$Q407=Parametres!$G$3),K407,E407)</f>
        <v>113.4</v>
      </c>
      <c r="Q407" s="154" t="str">
        <f t="shared" si="32"/>
        <v>7-Dépenses</v>
      </c>
      <c r="R407" s="153" t="str">
        <f t="shared" si="33"/>
        <v>6144</v>
      </c>
      <c r="S407" s="154">
        <f t="shared" si="34"/>
        <v>0</v>
      </c>
      <c r="T407" s="156" t="str">
        <f>+VLOOKUP($L407,Data_Validation!$A:$D,1,0)</f>
        <v>6544</v>
      </c>
      <c r="U407" s="156" t="str">
        <f>+VLOOKUP($L407,Data_Validation!$A:$D,3,0)</f>
        <v>Carrosserie</v>
      </c>
      <c r="V407" s="156" t="str">
        <f>+VLOOKUP($L407,Data_Validation!$A:$D,4,0)</f>
        <v>Formation</v>
      </c>
      <c r="W407" s="156" t="str">
        <f>+VLOOKUP($L407,Data_Validation!$A:$E,5,0)</f>
        <v>$</v>
      </c>
      <c r="X407" s="156">
        <f>+VLOOKUP($L407,Data_Validation!$A:$F,6,0)</f>
        <v>0</v>
      </c>
    </row>
    <row r="408" spans="1:24" ht="15" hidden="1" customHeight="1">
      <c r="A408" s="1147" t="s">
        <v>1186</v>
      </c>
      <c r="B408" s="1147" t="s">
        <v>2654</v>
      </c>
      <c r="C408" s="1149">
        <v>4009.39</v>
      </c>
      <c r="D408" s="1149">
        <v>478.35</v>
      </c>
      <c r="E408" s="1149">
        <v>4487.74</v>
      </c>
      <c r="F408" s="1147" t="s">
        <v>401</v>
      </c>
      <c r="G408" s="1147" t="s">
        <v>2632</v>
      </c>
      <c r="H408" s="1118"/>
      <c r="I408" s="1126"/>
      <c r="J408" s="1118"/>
      <c r="K408" s="1126"/>
      <c r="L408" s="153" t="str">
        <f t="shared" si="30"/>
        <v>6545</v>
      </c>
      <c r="M408" s="154" t="str">
        <f t="shared" si="31"/>
        <v>VEHICULE DE COMPAGNIE - DEPENS</v>
      </c>
      <c r="N408" s="155">
        <f>+IF(OR($Q408=Parametres!$G$2,$Q408=Parametres!$G$3),I408,C408)</f>
        <v>4009.39</v>
      </c>
      <c r="O408" s="1122">
        <f>+IF(OR($Q408=Parametres!$G$2,$Q408=Parametres!$G$3),J408,D408)</f>
        <v>478.35</v>
      </c>
      <c r="P408" s="155">
        <f>+IF(OR($Q408=Parametres!$G$2,$Q408=Parametres!$G$3),K408,E408)</f>
        <v>4487.74</v>
      </c>
      <c r="Q408" s="154" t="str">
        <f t="shared" si="32"/>
        <v>7-Dépenses</v>
      </c>
      <c r="R408" s="153" t="str">
        <f t="shared" si="33"/>
        <v>6145</v>
      </c>
      <c r="S408" s="154">
        <f t="shared" si="34"/>
        <v>0</v>
      </c>
      <c r="T408" s="156" t="str">
        <f>+VLOOKUP($L408,Data_Validation!$A:$D,1,0)</f>
        <v>6545</v>
      </c>
      <c r="U408" s="156" t="str">
        <f>+VLOOKUP($L408,Data_Validation!$A:$D,3,0)</f>
        <v>Carrosserie</v>
      </c>
      <c r="V408" s="156" t="str">
        <f>+VLOOKUP($L408,Data_Validation!$A:$D,4,0)</f>
        <v>Frais véhicules de cie</v>
      </c>
      <c r="W408" s="156" t="str">
        <f>+VLOOKUP($L408,Data_Validation!$A:$E,5,0)</f>
        <v>$</v>
      </c>
      <c r="X408" s="156">
        <f>+VLOOKUP($L408,Data_Validation!$A:$F,6,0)</f>
        <v>0</v>
      </c>
    </row>
    <row r="409" spans="1:24" ht="15" hidden="1" customHeight="1">
      <c r="A409" s="1147" t="s">
        <v>1180</v>
      </c>
      <c r="B409" s="1147" t="s">
        <v>2580</v>
      </c>
      <c r="C409" s="1149">
        <v>166.03</v>
      </c>
      <c r="D409" s="1149">
        <v>53.06</v>
      </c>
      <c r="E409" s="1149">
        <v>219.09</v>
      </c>
      <c r="F409" s="1147" t="s">
        <v>401</v>
      </c>
      <c r="G409" s="1147" t="s">
        <v>2581</v>
      </c>
      <c r="H409" s="1118"/>
      <c r="I409" s="1119"/>
      <c r="J409" s="1119"/>
      <c r="K409" s="1119"/>
      <c r="L409" s="153" t="str">
        <f t="shared" si="30"/>
        <v>6547</v>
      </c>
      <c r="M409" s="154" t="str">
        <f t="shared" si="31"/>
        <v>FRET/EXPRESS/TRANS. PAR CAMION</v>
      </c>
      <c r="N409" s="155">
        <f>+IF(OR($Q409=Parametres!$G$2,$Q409=Parametres!$G$3),I409,C409)</f>
        <v>166.03</v>
      </c>
      <c r="O409" s="1122">
        <f>+IF(OR($Q409=Parametres!$G$2,$Q409=Parametres!$G$3),J409,D409)</f>
        <v>53.06</v>
      </c>
      <c r="P409" s="155">
        <f>+IF(OR($Q409=Parametres!$G$2,$Q409=Parametres!$G$3),K409,E409)</f>
        <v>219.09</v>
      </c>
      <c r="Q409" s="154" t="str">
        <f t="shared" si="32"/>
        <v>7-Dépenses</v>
      </c>
      <c r="R409" s="153" t="str">
        <f t="shared" si="33"/>
        <v>6147</v>
      </c>
      <c r="S409" s="154">
        <f t="shared" si="34"/>
        <v>0</v>
      </c>
      <c r="T409" s="156" t="str">
        <f>+VLOOKUP($L409,Data_Validation!$A:$D,1,0)</f>
        <v>6547</v>
      </c>
      <c r="U409" s="156" t="str">
        <f>+VLOOKUP($L409,Data_Validation!$A:$D,3,0)</f>
        <v>Carrosserie</v>
      </c>
      <c r="V409" s="156" t="str">
        <f>+VLOOKUP($L409,Data_Validation!$A:$D,4,0)</f>
        <v>Frais postaux</v>
      </c>
      <c r="W409" s="156" t="str">
        <f>+VLOOKUP($L409,Data_Validation!$A:$E,5,0)</f>
        <v>$</v>
      </c>
      <c r="X409" s="156">
        <f>+VLOOKUP($L409,Data_Validation!$A:$F,6,0)</f>
        <v>0</v>
      </c>
    </row>
    <row r="410" spans="1:24" ht="15" hidden="1" customHeight="1">
      <c r="A410" s="1147" t="s">
        <v>1286</v>
      </c>
      <c r="B410" s="1147" t="s">
        <v>2701</v>
      </c>
      <c r="C410" s="1149">
        <v>8034.05</v>
      </c>
      <c r="D410" s="1149">
        <v>1475.95</v>
      </c>
      <c r="E410" s="1149">
        <v>9510</v>
      </c>
      <c r="F410" s="1147" t="s">
        <v>401</v>
      </c>
      <c r="G410" s="1147" t="s">
        <v>2702</v>
      </c>
      <c r="H410" s="1118"/>
      <c r="I410" s="1118"/>
      <c r="J410" s="1118"/>
      <c r="K410" s="1126"/>
      <c r="L410" s="153" t="str">
        <f t="shared" si="30"/>
        <v>6551</v>
      </c>
      <c r="M410" s="154" t="str">
        <f t="shared" si="31"/>
        <v>DEP. DU TRAITEMENT DES DONNEES</v>
      </c>
      <c r="N410" s="155">
        <f>+IF(OR($Q410=Parametres!$G$2,$Q410=Parametres!$G$3),I410,C410)</f>
        <v>8034.05</v>
      </c>
      <c r="O410" s="1120">
        <f>+IF(OR($Q410=Parametres!$G$2,$Q410=Parametres!$G$3),J410,D410)</f>
        <v>1475.95</v>
      </c>
      <c r="P410" s="155">
        <f>+IF(OR($Q410=Parametres!$G$2,$Q410=Parametres!$G$3),K410,E410)</f>
        <v>9510</v>
      </c>
      <c r="Q410" s="154" t="str">
        <f t="shared" si="32"/>
        <v>7-Dépenses</v>
      </c>
      <c r="R410" s="153" t="str">
        <f t="shared" si="33"/>
        <v>6151</v>
      </c>
      <c r="S410" s="154">
        <f t="shared" si="34"/>
        <v>0</v>
      </c>
      <c r="T410" s="156" t="str">
        <f>+VLOOKUP($L410,Data_Validation!$A:$D,1,0)</f>
        <v>6551</v>
      </c>
      <c r="U410" s="156" t="str">
        <f>+VLOOKUP($L410,Data_Validation!$A:$D,3,0)</f>
        <v>Carrosserie</v>
      </c>
      <c r="V410" s="156" t="str">
        <f>+VLOOKUP($L410,Data_Validation!$A:$D,4,0)</f>
        <v>Informatique</v>
      </c>
      <c r="W410" s="156" t="str">
        <f>+VLOOKUP($L410,Data_Validation!$A:$E,5,0)</f>
        <v>$</v>
      </c>
      <c r="X410" s="156">
        <f>+VLOOKUP($L410,Data_Validation!$A:$F,6,0)</f>
        <v>0</v>
      </c>
    </row>
    <row r="411" spans="1:24" ht="15.75" hidden="1" customHeight="1">
      <c r="A411" s="1147" t="s">
        <v>1206</v>
      </c>
      <c r="B411" s="1147" t="s">
        <v>2587</v>
      </c>
      <c r="C411" s="1149">
        <v>637.28</v>
      </c>
      <c r="D411" s="1149">
        <v>102.09</v>
      </c>
      <c r="E411" s="1149">
        <v>739.37</v>
      </c>
      <c r="F411" s="1147" t="s">
        <v>401</v>
      </c>
      <c r="G411" s="1147" t="s">
        <v>2588</v>
      </c>
      <c r="H411" s="1118"/>
      <c r="I411" s="1119"/>
      <c r="J411" s="1119"/>
      <c r="K411" s="1119"/>
      <c r="L411" s="153" t="str">
        <f t="shared" si="30"/>
        <v>6552</v>
      </c>
      <c r="M411" s="154" t="str">
        <f t="shared" si="31"/>
        <v>PAPETERIE</v>
      </c>
      <c r="N411" s="155">
        <f>+IF(OR($Q411=Parametres!$G$2,$Q411=Parametres!$G$3),I411,C411)</f>
        <v>637.28</v>
      </c>
      <c r="O411" s="1122">
        <f>+IF(OR($Q411=Parametres!$G$2,$Q411=Parametres!$G$3),J411,D411)</f>
        <v>102.09</v>
      </c>
      <c r="P411" s="155">
        <f>+IF(OR($Q411=Parametres!$G$2,$Q411=Parametres!$G$3),K411,E411)</f>
        <v>739.37</v>
      </c>
      <c r="Q411" s="154" t="str">
        <f t="shared" si="32"/>
        <v>7-Dépenses</v>
      </c>
      <c r="R411" s="153" t="str">
        <f t="shared" si="33"/>
        <v>6152</v>
      </c>
      <c r="S411" s="154">
        <f t="shared" si="34"/>
        <v>0</v>
      </c>
      <c r="T411" s="156" t="str">
        <f>+VLOOKUP($L411,Data_Validation!$A:$D,1,0)</f>
        <v>6552</v>
      </c>
      <c r="U411" s="156" t="str">
        <f>+VLOOKUP($L411,Data_Validation!$A:$D,3,0)</f>
        <v>Carrosserie</v>
      </c>
      <c r="V411" s="156" t="str">
        <f>+VLOOKUP($L411,Data_Validation!$A:$D,4,0)</f>
        <v>Papeterie</v>
      </c>
      <c r="W411" s="156" t="str">
        <f>+VLOOKUP($L411,Data_Validation!$A:$E,5,0)</f>
        <v>$</v>
      </c>
      <c r="X411" s="156">
        <f>+VLOOKUP($L411,Data_Validation!$A:$F,6,0)</f>
        <v>0</v>
      </c>
    </row>
    <row r="412" spans="1:24" ht="15" hidden="1" customHeight="1">
      <c r="A412" s="1147" t="s">
        <v>1154</v>
      </c>
      <c r="B412" s="1147" t="s">
        <v>2591</v>
      </c>
      <c r="C412" s="1149">
        <v>480.3</v>
      </c>
      <c r="D412" s="1149">
        <v>19.510000000000002</v>
      </c>
      <c r="E412" s="1149">
        <v>499.81</v>
      </c>
      <c r="F412" s="1147" t="s">
        <v>401</v>
      </c>
      <c r="G412" s="1147" t="s">
        <v>2592</v>
      </c>
      <c r="H412" s="1118"/>
      <c r="I412" s="1126"/>
      <c r="J412" s="1118"/>
      <c r="K412" s="1126"/>
      <c r="L412" s="153" t="str">
        <f t="shared" si="30"/>
        <v>6553</v>
      </c>
      <c r="M412" s="154" t="str">
        <f t="shared" si="31"/>
        <v>TELEPHONE ET TELEX</v>
      </c>
      <c r="N412" s="155">
        <f>+IF(OR($Q412=Parametres!$G$2,$Q412=Parametres!$G$3),I412,C412)</f>
        <v>480.3</v>
      </c>
      <c r="O412" s="1122">
        <f>+IF(OR($Q412=Parametres!$G$2,$Q412=Parametres!$G$3),J412,D412)</f>
        <v>19.510000000000002</v>
      </c>
      <c r="P412" s="155">
        <f>+IF(OR($Q412=Parametres!$G$2,$Q412=Parametres!$G$3),K412,E412)</f>
        <v>499.81</v>
      </c>
      <c r="Q412" s="154" t="str">
        <f t="shared" si="32"/>
        <v>7-Dépenses</v>
      </c>
      <c r="R412" s="153" t="str">
        <f t="shared" si="33"/>
        <v>6153</v>
      </c>
      <c r="S412" s="154">
        <f t="shared" si="34"/>
        <v>0</v>
      </c>
      <c r="T412" s="156" t="str">
        <f>+VLOOKUP($L412,Data_Validation!$A:$D,1,0)</f>
        <v>6553</v>
      </c>
      <c r="U412" s="156" t="str">
        <f>+VLOOKUP($L412,Data_Validation!$A:$D,3,0)</f>
        <v>Carrosserie</v>
      </c>
      <c r="V412" s="156" t="str">
        <f>+VLOOKUP($L412,Data_Validation!$A:$D,4,0)</f>
        <v>Téléphone</v>
      </c>
      <c r="W412" s="156" t="str">
        <f>+VLOOKUP($L412,Data_Validation!$A:$E,5,0)</f>
        <v>$</v>
      </c>
      <c r="X412" s="156">
        <f>+VLOOKUP($L412,Data_Validation!$A:$F,6,0)</f>
        <v>0</v>
      </c>
    </row>
    <row r="413" spans="1:24" ht="15" hidden="1" customHeight="1">
      <c r="A413" s="1147" t="s">
        <v>1237</v>
      </c>
      <c r="B413" s="1147" t="s">
        <v>2636</v>
      </c>
      <c r="C413" s="1149">
        <v>992.09</v>
      </c>
      <c r="D413" s="1149">
        <v>175.81</v>
      </c>
      <c r="E413" s="1149">
        <v>1167.9000000000001</v>
      </c>
      <c r="F413" s="1147" t="s">
        <v>401</v>
      </c>
      <c r="G413" s="1147" t="s">
        <v>2637</v>
      </c>
      <c r="H413" s="1118"/>
      <c r="I413" s="1119"/>
      <c r="J413" s="1119"/>
      <c r="K413" s="1119"/>
      <c r="L413" s="153" t="str">
        <f t="shared" si="30"/>
        <v>6555</v>
      </c>
      <c r="M413" s="154" t="str">
        <f t="shared" si="31"/>
        <v>DEPENSES DIVERS</v>
      </c>
      <c r="N413" s="155">
        <f>+IF(OR($Q413=Parametres!$G$2,$Q413=Parametres!$G$3),I413,C413)</f>
        <v>992.09</v>
      </c>
      <c r="O413" s="1122">
        <f>+IF(OR($Q413=Parametres!$G$2,$Q413=Parametres!$G$3),J413,D413)</f>
        <v>175.81</v>
      </c>
      <c r="P413" s="155">
        <f>+IF(OR($Q413=Parametres!$G$2,$Q413=Parametres!$G$3),K413,E413)</f>
        <v>1167.9000000000001</v>
      </c>
      <c r="Q413" s="154" t="str">
        <f t="shared" si="32"/>
        <v>7-Dépenses</v>
      </c>
      <c r="R413" s="153" t="str">
        <f t="shared" si="33"/>
        <v>6155</v>
      </c>
      <c r="S413" s="154">
        <f t="shared" si="34"/>
        <v>0</v>
      </c>
      <c r="T413" s="156" t="str">
        <f>+VLOOKUP($L413,Data_Validation!$A:$D,1,0)</f>
        <v>6555</v>
      </c>
      <c r="U413" s="156" t="str">
        <f>+VLOOKUP($L413,Data_Validation!$A:$D,3,0)</f>
        <v>Carrosserie</v>
      </c>
      <c r="V413" s="156" t="str">
        <f>+VLOOKUP($L413,Data_Validation!$A:$D,4,0)</f>
        <v>Divers</v>
      </c>
      <c r="W413" s="156" t="str">
        <f>+VLOOKUP($L413,Data_Validation!$A:$E,5,0)</f>
        <v>$</v>
      </c>
      <c r="X413" s="156">
        <f>+VLOOKUP($L413,Data_Validation!$A:$F,6,0)</f>
        <v>0</v>
      </c>
    </row>
    <row r="414" spans="1:24" ht="15" hidden="1" customHeight="1">
      <c r="A414" s="1147" t="s">
        <v>1217</v>
      </c>
      <c r="B414" s="1147" t="s">
        <v>2469</v>
      </c>
      <c r="C414" s="1149">
        <v>503.16</v>
      </c>
      <c r="D414" s="1149">
        <v>244.91</v>
      </c>
      <c r="E414" s="1149">
        <v>748.07</v>
      </c>
      <c r="F414" s="1147" t="s">
        <v>401</v>
      </c>
      <c r="G414" s="1147" t="s">
        <v>2470</v>
      </c>
      <c r="H414" s="948"/>
      <c r="I414" s="947"/>
      <c r="J414" s="947"/>
      <c r="K414" s="947"/>
      <c r="L414" s="153" t="str">
        <f t="shared" si="30"/>
        <v>6556</v>
      </c>
      <c r="M414" s="154" t="str">
        <f t="shared" si="31"/>
        <v>FRAIS REPRESENTATION</v>
      </c>
      <c r="N414" s="155">
        <f>+IF(OR($Q414=Parametres!$G$2,$Q414=Parametres!$G$3),I414,C414)</f>
        <v>503.16</v>
      </c>
      <c r="O414" s="1122">
        <f>+IF(OR($Q414=Parametres!$G$2,$Q414=Parametres!$G$3),J414,D414)</f>
        <v>244.91</v>
      </c>
      <c r="P414" s="155">
        <f>+IF(OR($Q414=Parametres!$G$2,$Q414=Parametres!$G$3),K414,E414)</f>
        <v>748.07</v>
      </c>
      <c r="Q414" s="154" t="str">
        <f t="shared" si="32"/>
        <v>7-Dépenses</v>
      </c>
      <c r="R414" s="153" t="str">
        <f t="shared" si="33"/>
        <v>6156</v>
      </c>
      <c r="S414" s="154">
        <f t="shared" si="34"/>
        <v>0</v>
      </c>
      <c r="T414" s="156" t="str">
        <f>+VLOOKUP($L414,Data_Validation!$A:$D,1,0)</f>
        <v>6556</v>
      </c>
      <c r="U414" s="156" t="str">
        <f>+VLOOKUP($L414,Data_Validation!$A:$D,3,0)</f>
        <v>Carrosserie</v>
      </c>
      <c r="V414" s="156" t="str">
        <f>+VLOOKUP($L414,Data_Validation!$A:$D,4,0)</f>
        <v>Frais de déplacement</v>
      </c>
      <c r="W414" s="156" t="str">
        <f>+VLOOKUP($L414,Data_Validation!$A:$E,5,0)</f>
        <v>$</v>
      </c>
      <c r="X414" s="156">
        <f>+VLOOKUP($L414,Data_Validation!$A:$F,6,0)</f>
        <v>0</v>
      </c>
    </row>
    <row r="415" spans="1:24" ht="15.75" hidden="1" customHeight="1">
      <c r="A415" s="1147" t="s">
        <v>1308</v>
      </c>
      <c r="B415" s="1147" t="s">
        <v>2661</v>
      </c>
      <c r="C415" s="1149">
        <v>3127.56</v>
      </c>
      <c r="D415" s="1149">
        <v>619.99</v>
      </c>
      <c r="E415" s="1149">
        <v>3747.55</v>
      </c>
      <c r="F415" s="1147" t="s">
        <v>401</v>
      </c>
      <c r="G415" s="1147" t="s">
        <v>2662</v>
      </c>
      <c r="H415" s="948"/>
      <c r="I415" s="947"/>
      <c r="J415" s="947"/>
      <c r="K415" s="947"/>
      <c r="L415" s="153" t="str">
        <f t="shared" si="30"/>
        <v>6559</v>
      </c>
      <c r="M415" s="154" t="str">
        <f t="shared" si="31"/>
        <v>SERVICE EXTERIEUR</v>
      </c>
      <c r="N415" s="155">
        <f>+IF(OR($Q415=Parametres!$G$2,$Q415=Parametres!$G$3),I415,C415)</f>
        <v>3127.56</v>
      </c>
      <c r="O415" s="1122">
        <f>+IF(OR($Q415=Parametres!$G$2,$Q415=Parametres!$G$3),J415,D415)</f>
        <v>619.99</v>
      </c>
      <c r="P415" s="155">
        <f>+IF(OR($Q415=Parametres!$G$2,$Q415=Parametres!$G$3),K415,E415)</f>
        <v>3747.55</v>
      </c>
      <c r="Q415" s="154" t="str">
        <f t="shared" si="32"/>
        <v>7-Dépenses</v>
      </c>
      <c r="R415" s="153" t="str">
        <f t="shared" si="33"/>
        <v>6159</v>
      </c>
      <c r="S415" s="154">
        <f t="shared" si="34"/>
        <v>0</v>
      </c>
      <c r="T415" s="156" t="str">
        <f>+VLOOKUP($L415,Data_Validation!$A:$D,1,0)</f>
        <v>6559</v>
      </c>
      <c r="U415" s="156" t="str">
        <f>+VLOOKUP($L415,Data_Validation!$A:$D,3,0)</f>
        <v>Carrosserie</v>
      </c>
      <c r="V415" s="156" t="str">
        <f>+VLOOKUP($L415,Data_Validation!$A:$D,4,0)</f>
        <v>Services extérieurs</v>
      </c>
      <c r="W415" s="156" t="str">
        <f>+VLOOKUP($L415,Data_Validation!$A:$E,5,0)</f>
        <v>$</v>
      </c>
      <c r="X415" s="156">
        <f>+VLOOKUP($L415,Data_Validation!$A:$F,6,0)</f>
        <v>0</v>
      </c>
    </row>
    <row r="416" spans="1:24" ht="15" hidden="1" customHeight="1">
      <c r="A416" s="1147" t="s">
        <v>1333</v>
      </c>
      <c r="B416" s="1147" t="s">
        <v>2652</v>
      </c>
      <c r="C416" s="1149">
        <v>1867.71</v>
      </c>
      <c r="D416" s="1149">
        <v>302.02</v>
      </c>
      <c r="E416" s="1149">
        <v>2169.73</v>
      </c>
      <c r="F416" s="1147" t="s">
        <v>401</v>
      </c>
      <c r="G416" s="1147" t="s">
        <v>2653</v>
      </c>
      <c r="H416" s="150"/>
      <c r="I416" s="157"/>
      <c r="J416" s="157"/>
      <c r="K416" s="157"/>
      <c r="L416" s="153" t="str">
        <f t="shared" si="30"/>
        <v>6561</v>
      </c>
      <c r="M416" s="154" t="str">
        <f t="shared" si="31"/>
        <v>DEPRECIATION EQUIP. &amp; FIXTURES</v>
      </c>
      <c r="N416" s="155">
        <f>+IF(OR($Q416=Parametres!$G$2,$Q416=Parametres!$G$3),I416,C416)</f>
        <v>1867.71</v>
      </c>
      <c r="O416" s="1122">
        <f>+IF(OR($Q416=Parametres!$G$2,$Q416=Parametres!$G$3),J416,D416)</f>
        <v>302.02</v>
      </c>
      <c r="P416" s="155">
        <f>+IF(OR($Q416=Parametres!$G$2,$Q416=Parametres!$G$3),K416,E416)</f>
        <v>2169.73</v>
      </c>
      <c r="Q416" s="154" t="str">
        <f t="shared" si="32"/>
        <v>7-Dépenses</v>
      </c>
      <c r="R416" s="153" t="str">
        <f t="shared" si="33"/>
        <v>6161</v>
      </c>
      <c r="S416" s="154">
        <f t="shared" si="34"/>
        <v>0</v>
      </c>
      <c r="T416" s="156" t="str">
        <f>+VLOOKUP($L416,Data_Validation!$A:$D,1,0)</f>
        <v>6561</v>
      </c>
      <c r="U416" s="156" t="str">
        <f>+VLOOKUP($L416,Data_Validation!$A:$D,3,0)</f>
        <v>Carrosserie</v>
      </c>
      <c r="V416" s="156" t="str">
        <f>+VLOOKUP($L416,Data_Validation!$A:$D,4,0)</f>
        <v>Amortissement</v>
      </c>
      <c r="W416" s="156" t="str">
        <f>+VLOOKUP($L416,Data_Validation!$A:$E,5,0)</f>
        <v>$</v>
      </c>
      <c r="X416" s="156">
        <f>+VLOOKUP($L416,Data_Validation!$A:$F,6,0)</f>
        <v>0</v>
      </c>
    </row>
    <row r="417" spans="1:24" ht="15" hidden="1" customHeight="1">
      <c r="A417" s="1147" t="s">
        <v>1244</v>
      </c>
      <c r="B417" s="1147" t="s">
        <v>2603</v>
      </c>
      <c r="C417" s="1149">
        <v>950.07</v>
      </c>
      <c r="D417" s="1149">
        <v>121.98</v>
      </c>
      <c r="E417" s="1149">
        <v>1072.05</v>
      </c>
      <c r="F417" s="1147" t="s">
        <v>401</v>
      </c>
      <c r="G417" s="1147" t="s">
        <v>2604</v>
      </c>
      <c r="H417" s="150"/>
      <c r="I417" s="157"/>
      <c r="J417" s="157"/>
      <c r="K417" s="157"/>
      <c r="L417" s="153" t="str">
        <f t="shared" si="30"/>
        <v>6581</v>
      </c>
      <c r="M417" s="154" t="str">
        <f t="shared" si="31"/>
        <v>CHAUFFAGE,ELECTRICITE,EAU-CARROS.</v>
      </c>
      <c r="N417" s="155">
        <f>+IF(OR($Q417=Parametres!$G$2,$Q417=Parametres!$G$3),I417,C417)</f>
        <v>950.07</v>
      </c>
      <c r="O417" s="1122">
        <f>+IF(OR($Q417=Parametres!$G$2,$Q417=Parametres!$G$3),J417,D417)</f>
        <v>121.98</v>
      </c>
      <c r="P417" s="155">
        <f>+IF(OR($Q417=Parametres!$G$2,$Q417=Parametres!$G$3),K417,E417)</f>
        <v>1072.05</v>
      </c>
      <c r="Q417" s="154" t="str">
        <f t="shared" si="32"/>
        <v>7-Dépenses</v>
      </c>
      <c r="R417" s="153" t="str">
        <f t="shared" si="33"/>
        <v>6181</v>
      </c>
      <c r="S417" s="154">
        <f t="shared" si="34"/>
        <v>0</v>
      </c>
      <c r="T417" s="156" t="str">
        <f>+VLOOKUP($L417,Data_Validation!$A:$D,1,0)</f>
        <v>6581</v>
      </c>
      <c r="U417" s="156" t="str">
        <f>+VLOOKUP($L417,Data_Validation!$A:$D,3,0)</f>
        <v>Carrosserie</v>
      </c>
      <c r="V417" s="156" t="str">
        <f>+VLOOKUP($L417,Data_Validation!$A:$D,4,0)</f>
        <v>Chauffage, éclairage</v>
      </c>
      <c r="W417" s="156" t="str">
        <f>+VLOOKUP($L417,Data_Validation!$A:$E,5,0)</f>
        <v>$</v>
      </c>
      <c r="X417" s="156">
        <f>+VLOOKUP($L417,Data_Validation!$A:$F,6,0)</f>
        <v>0</v>
      </c>
    </row>
    <row r="418" spans="1:24" ht="15" hidden="1" customHeight="1">
      <c r="A418" s="1147" t="s">
        <v>1398</v>
      </c>
      <c r="B418" s="1147" t="s">
        <v>2708</v>
      </c>
      <c r="C418" s="1149">
        <v>10920</v>
      </c>
      <c r="D418" s="1149">
        <v>1820</v>
      </c>
      <c r="E418" s="1149">
        <v>12740</v>
      </c>
      <c r="F418" s="1147" t="s">
        <v>401</v>
      </c>
      <c r="G418" s="1147" t="s">
        <v>2709</v>
      </c>
      <c r="H418" s="150"/>
      <c r="I418" s="152"/>
      <c r="J418" s="152"/>
      <c r="K418" s="152"/>
      <c r="L418" s="153" t="str">
        <f t="shared" si="30"/>
        <v>6582</v>
      </c>
      <c r="M418" s="154" t="str">
        <f t="shared" si="31"/>
        <v>LOYER - CARROSSERIE</v>
      </c>
      <c r="N418" s="155">
        <f>+IF(OR($Q418=Parametres!$G$2,$Q418=Parametres!$G$3),I418,C418)</f>
        <v>10920</v>
      </c>
      <c r="O418" s="1122">
        <f>+IF(OR($Q418=Parametres!$G$2,$Q418=Parametres!$G$3),J418,D418)</f>
        <v>1820</v>
      </c>
      <c r="P418" s="155">
        <f>+IF(OR($Q418=Parametres!$G$2,$Q418=Parametres!$G$3),K418,E418)</f>
        <v>12740</v>
      </c>
      <c r="Q418" s="154" t="str">
        <f t="shared" si="32"/>
        <v>7-Dépenses</v>
      </c>
      <c r="R418" s="153" t="str">
        <f t="shared" si="33"/>
        <v>6182</v>
      </c>
      <c r="S418" s="154">
        <f t="shared" si="34"/>
        <v>0</v>
      </c>
      <c r="T418" s="156" t="str">
        <f>+VLOOKUP($L418,Data_Validation!$A:$D,1,0)</f>
        <v>6582</v>
      </c>
      <c r="U418" s="156" t="str">
        <f>+VLOOKUP($L418,Data_Validation!$A:$D,3,0)</f>
        <v>Carrosserie</v>
      </c>
      <c r="V418" s="156" t="str">
        <f>+VLOOKUP($L418,Data_Validation!$A:$D,4,0)</f>
        <v>Loyer</v>
      </c>
      <c r="W418" s="156" t="str">
        <f>+VLOOKUP($L418,Data_Validation!$A:$E,5,0)</f>
        <v>$</v>
      </c>
      <c r="X418" s="156">
        <f>+VLOOKUP($L418,Data_Validation!$A:$F,6,0)</f>
        <v>0</v>
      </c>
    </row>
    <row r="419" spans="1:24" ht="15.75" hidden="1" customHeight="1">
      <c r="A419" s="1147" t="s">
        <v>1255</v>
      </c>
      <c r="B419" s="1147" t="s">
        <v>2593</v>
      </c>
      <c r="C419" s="1149">
        <v>1557.42</v>
      </c>
      <c r="D419" s="1149">
        <v>259.57</v>
      </c>
      <c r="E419" s="1149">
        <v>1816.99</v>
      </c>
      <c r="F419" s="1147" t="s">
        <v>401</v>
      </c>
      <c r="G419" s="1147" t="s">
        <v>2594</v>
      </c>
      <c r="H419" s="150"/>
      <c r="I419" s="157"/>
      <c r="J419" s="157"/>
      <c r="K419" s="157"/>
      <c r="L419" s="153" t="str">
        <f t="shared" si="30"/>
        <v>6586</v>
      </c>
      <c r="M419" s="154" t="str">
        <f t="shared" si="31"/>
        <v>ASSURANCE BATISSE &amp; AMEL.-CARROS.</v>
      </c>
      <c r="N419" s="155">
        <f>+IF(OR($Q419=Parametres!$G$2,$Q419=Parametres!$G$3),I419,C419)</f>
        <v>1557.42</v>
      </c>
      <c r="O419" s="1122">
        <f>+IF(OR($Q419=Parametres!$G$2,$Q419=Parametres!$G$3),J419,D419)</f>
        <v>259.57</v>
      </c>
      <c r="P419" s="155">
        <f>+IF(OR($Q419=Parametres!$G$2,$Q419=Parametres!$G$3),K419,E419)</f>
        <v>1816.99</v>
      </c>
      <c r="Q419" s="154" t="str">
        <f t="shared" si="32"/>
        <v>7-Dépenses</v>
      </c>
      <c r="R419" s="153" t="str">
        <f t="shared" si="33"/>
        <v>6186</v>
      </c>
      <c r="S419" s="154">
        <f t="shared" si="34"/>
        <v>0</v>
      </c>
      <c r="T419" s="156" t="str">
        <f>+VLOOKUP($L419,Data_Validation!$A:$D,1,0)</f>
        <v>6586</v>
      </c>
      <c r="U419" s="156" t="str">
        <f>+VLOOKUP($L419,Data_Validation!$A:$D,3,0)</f>
        <v>Carrosserie</v>
      </c>
      <c r="V419" s="156" t="str">
        <f>+VLOOKUP($L419,Data_Validation!$A:$D,4,0)</f>
        <v>Assurances</v>
      </c>
      <c r="W419" s="156" t="str">
        <f>+VLOOKUP($L419,Data_Validation!$A:$E,5,0)</f>
        <v>$</v>
      </c>
      <c r="X419" s="156">
        <f>+VLOOKUP($L419,Data_Validation!$A:$F,6,0)</f>
        <v>0</v>
      </c>
    </row>
    <row r="420" spans="1:24" ht="15.75" hidden="1" customHeight="1">
      <c r="A420" s="1147" t="s">
        <v>1264</v>
      </c>
      <c r="B420" s="1147" t="s">
        <v>2613</v>
      </c>
      <c r="C420" s="1149">
        <v>2020.2</v>
      </c>
      <c r="D420" s="1149">
        <v>336.7</v>
      </c>
      <c r="E420" s="1149">
        <v>2356.9</v>
      </c>
      <c r="F420" s="1147" t="s">
        <v>401</v>
      </c>
      <c r="G420" s="1147" t="s">
        <v>2614</v>
      </c>
      <c r="H420" s="150"/>
      <c r="I420" s="151"/>
      <c r="J420" s="151"/>
      <c r="K420" s="151"/>
      <c r="L420" s="153" t="str">
        <f t="shared" si="30"/>
        <v>6587</v>
      </c>
      <c r="M420" s="154" t="str">
        <f t="shared" si="31"/>
        <v>TAXES FONCIERES - CAROSSERIE</v>
      </c>
      <c r="N420" s="155">
        <f>+IF(OR($Q420=Parametres!$G$2,$Q420=Parametres!$G$3),I420,C420)</f>
        <v>2020.2</v>
      </c>
      <c r="O420" s="1122">
        <f>+IF(OR($Q420=Parametres!$G$2,$Q420=Parametres!$G$3),J420,D420)</f>
        <v>336.7</v>
      </c>
      <c r="P420" s="155">
        <f>+IF(OR($Q420=Parametres!$G$2,$Q420=Parametres!$G$3),K420,E420)</f>
        <v>2356.9</v>
      </c>
      <c r="Q420" s="154" t="str">
        <f t="shared" si="32"/>
        <v>7-Dépenses</v>
      </c>
      <c r="R420" s="153" t="str">
        <f t="shared" si="33"/>
        <v>6187</v>
      </c>
      <c r="S420" s="154">
        <f t="shared" si="34"/>
        <v>0</v>
      </c>
      <c r="T420" s="156" t="str">
        <f>+VLOOKUP($L420,Data_Validation!$A:$D,1,0)</f>
        <v>6587</v>
      </c>
      <c r="U420" s="156" t="str">
        <f>+VLOOKUP($L420,Data_Validation!$A:$D,3,0)</f>
        <v>Carrosserie</v>
      </c>
      <c r="V420" s="156" t="str">
        <f>+VLOOKUP($L420,Data_Validation!$A:$D,4,0)</f>
        <v>Taxes foncières</v>
      </c>
      <c r="W420" s="156" t="str">
        <f>+VLOOKUP($L420,Data_Validation!$A:$E,5,0)</f>
        <v>$</v>
      </c>
      <c r="X420" s="156">
        <f>+VLOOKUP($L420,Data_Validation!$A:$F,6,0)</f>
        <v>0</v>
      </c>
    </row>
    <row r="421" spans="1:24" ht="15" hidden="1" customHeight="1">
      <c r="A421" s="1147" t="s">
        <v>1225</v>
      </c>
      <c r="B421" s="1147" t="s">
        <v>2596</v>
      </c>
      <c r="C421" s="1149">
        <v>1344</v>
      </c>
      <c r="D421" s="1149">
        <v>224</v>
      </c>
      <c r="E421" s="1149">
        <v>1568</v>
      </c>
      <c r="F421" s="1147" t="s">
        <v>401</v>
      </c>
      <c r="G421" s="1147" t="s">
        <v>2597</v>
      </c>
      <c r="H421" s="150"/>
      <c r="I421" s="151"/>
      <c r="J421" s="151"/>
      <c r="K421" s="151"/>
      <c r="L421" s="153" t="str">
        <f t="shared" si="30"/>
        <v>6593</v>
      </c>
      <c r="M421" s="154" t="str">
        <f t="shared" si="31"/>
        <v>AUTRES TAXES -CARROSSERIE</v>
      </c>
      <c r="N421" s="155">
        <f>+IF(OR($Q421=Parametres!$G$2,$Q421=Parametres!$G$3),I421,C421)</f>
        <v>1344</v>
      </c>
      <c r="O421" s="1122">
        <f>+IF(OR($Q421=Parametres!$G$2,$Q421=Parametres!$G$3),J421,D421)</f>
        <v>224</v>
      </c>
      <c r="P421" s="155">
        <f>+IF(OR($Q421=Parametres!$G$2,$Q421=Parametres!$G$3),K421,E421)</f>
        <v>1568</v>
      </c>
      <c r="Q421" s="154" t="str">
        <f t="shared" si="32"/>
        <v>7-Dépenses</v>
      </c>
      <c r="R421" s="153" t="str">
        <f t="shared" si="33"/>
        <v>6193</v>
      </c>
      <c r="S421" s="154">
        <f t="shared" si="34"/>
        <v>0</v>
      </c>
      <c r="T421" s="156" t="str">
        <f>+VLOOKUP($L421,Data_Validation!$A:$D,1,0)</f>
        <v>6593</v>
      </c>
      <c r="U421" s="156" t="str">
        <f>+VLOOKUP($L421,Data_Validation!$A:$D,3,0)</f>
        <v>Carrosserie</v>
      </c>
      <c r="V421" s="156" t="str">
        <f>+VLOOKUP($L421,Data_Validation!$A:$D,4,0)</f>
        <v>Taxes d`affaires</v>
      </c>
      <c r="W421" s="156" t="str">
        <f>+VLOOKUP($L421,Data_Validation!$A:$E,5,0)</f>
        <v>$</v>
      </c>
      <c r="X421" s="156">
        <f>+VLOOKUP($L421,Data_Validation!$A:$F,6,0)</f>
        <v>0</v>
      </c>
    </row>
    <row r="422" spans="1:24" ht="15" hidden="1" customHeight="1">
      <c r="A422" s="1147" t="s">
        <v>1271</v>
      </c>
      <c r="B422" s="1147" t="s">
        <v>2634</v>
      </c>
      <c r="C422" s="1149">
        <v>2736.52</v>
      </c>
      <c r="D422" s="1149">
        <v>435.2</v>
      </c>
      <c r="E422" s="1149">
        <v>3171.72</v>
      </c>
      <c r="F422" s="1147" t="s">
        <v>401</v>
      </c>
      <c r="G422" s="1147" t="s">
        <v>2635</v>
      </c>
      <c r="H422" s="1013"/>
      <c r="I422" s="1014"/>
      <c r="J422" s="1014"/>
      <c r="K422" s="1014"/>
      <c r="L422" s="153" t="str">
        <f t="shared" si="30"/>
        <v>6594</v>
      </c>
      <c r="M422" s="154" t="str">
        <f t="shared" si="31"/>
        <v>FRAIS PROFESSIONNEL-CARROS.</v>
      </c>
      <c r="N422" s="155">
        <f>+IF(OR($Q422=Parametres!$G$2,$Q422=Parametres!$G$3),I422,C422)</f>
        <v>2736.52</v>
      </c>
      <c r="O422" s="1122">
        <f>+IF(OR($Q422=Parametres!$G$2,$Q422=Parametres!$G$3),J422,D422)</f>
        <v>435.2</v>
      </c>
      <c r="P422" s="155">
        <f>+IF(OR($Q422=Parametres!$G$2,$Q422=Parametres!$G$3),K422,E422)</f>
        <v>3171.72</v>
      </c>
      <c r="Q422" s="154" t="str">
        <f t="shared" si="32"/>
        <v>7-Dépenses</v>
      </c>
      <c r="R422" s="153" t="str">
        <f t="shared" si="33"/>
        <v>6194</v>
      </c>
      <c r="S422" s="154">
        <f t="shared" si="34"/>
        <v>0</v>
      </c>
      <c r="T422" s="156" t="str">
        <f>+VLOOKUP($L422,Data_Validation!$A:$D,1,0)</f>
        <v>6594</v>
      </c>
      <c r="U422" s="156" t="str">
        <f>+VLOOKUP($L422,Data_Validation!$A:$D,3,0)</f>
        <v>Carrosserie</v>
      </c>
      <c r="V422" s="156" t="str">
        <f>+VLOOKUP($L422,Data_Validation!$A:$D,4,0)</f>
        <v>Honoraires</v>
      </c>
      <c r="W422" s="156" t="str">
        <f>+VLOOKUP($L422,Data_Validation!$A:$E,5,0)</f>
        <v>$</v>
      </c>
      <c r="X422" s="156">
        <f>+VLOOKUP($L422,Data_Validation!$A:$F,6,0)</f>
        <v>0</v>
      </c>
    </row>
    <row r="423" spans="1:24" ht="15" hidden="1" customHeight="1">
      <c r="A423" s="1147" t="s">
        <v>399</v>
      </c>
      <c r="B423" s="1147" t="s">
        <v>2472</v>
      </c>
      <c r="C423" s="1149">
        <v>2178.34</v>
      </c>
      <c r="D423" s="1149">
        <v>-30.06</v>
      </c>
      <c r="E423" s="1149">
        <v>2148.2800000000002</v>
      </c>
      <c r="F423" s="1147" t="s">
        <v>401</v>
      </c>
      <c r="G423" s="1147" t="s">
        <v>2467</v>
      </c>
      <c r="H423" s="1013"/>
      <c r="I423" s="1013"/>
      <c r="J423" s="1013"/>
      <c r="K423" s="1013"/>
      <c r="L423" s="153" t="str">
        <f t="shared" si="30"/>
        <v>6703</v>
      </c>
      <c r="M423" s="154" t="str">
        <f t="shared" si="31"/>
        <v>RELAT. A LA CLIENTELE &amp; AJUST.</v>
      </c>
      <c r="N423" s="155">
        <f>+IF(OR($Q423=Parametres!$G$2,$Q423=Parametres!$G$3),I423,C423)</f>
        <v>2178.34</v>
      </c>
      <c r="O423" s="1122">
        <f>+IF(OR($Q423=Parametres!$G$2,$Q423=Parametres!$G$3),J423,D423)</f>
        <v>-30.06</v>
      </c>
      <c r="P423" s="155">
        <f>+IF(OR($Q423=Parametres!$G$2,$Q423=Parametres!$G$3),K423,E423)</f>
        <v>2148.2800000000002</v>
      </c>
      <c r="Q423" s="154" t="str">
        <f t="shared" si="32"/>
        <v>7-Dépenses</v>
      </c>
      <c r="R423" s="153" t="str">
        <f t="shared" si="33"/>
        <v>6112</v>
      </c>
      <c r="S423" s="154">
        <f t="shared" si="34"/>
        <v>0</v>
      </c>
      <c r="T423" s="156" t="str">
        <f>+VLOOKUP($L423,Data_Validation!$A:$D,1,0)</f>
        <v>6703</v>
      </c>
      <c r="U423" s="156" t="str">
        <f>+VLOOKUP($L423,Data_Validation!$A:$D,3,0)</f>
        <v>Pièces</v>
      </c>
      <c r="V423" s="156" t="str">
        <f>+VLOOKUP($L423,Data_Validation!$A:$D,4,0)</f>
        <v>Service gratuit 2</v>
      </c>
      <c r="W423" s="156" t="str">
        <f>+VLOOKUP($L423,Data_Validation!$A:$E,5,0)</f>
        <v>$</v>
      </c>
      <c r="X423" s="156">
        <f>+VLOOKUP($L423,Data_Validation!$A:$F,6,0)</f>
        <v>0</v>
      </c>
    </row>
    <row r="424" spans="1:24" ht="15" hidden="1" customHeight="1">
      <c r="A424" s="1147" t="s">
        <v>1374</v>
      </c>
      <c r="B424" s="1147" t="s">
        <v>2675</v>
      </c>
      <c r="C424" s="1149">
        <v>19881.63</v>
      </c>
      <c r="D424" s="1149">
        <v>3836.47</v>
      </c>
      <c r="E424" s="1149">
        <v>23718.1</v>
      </c>
      <c r="F424" s="1147" t="s">
        <v>401</v>
      </c>
      <c r="G424" s="1147" t="s">
        <v>2113</v>
      </c>
      <c r="H424" s="1013"/>
      <c r="I424" s="1014"/>
      <c r="J424" s="1014"/>
      <c r="K424" s="1014"/>
      <c r="L424" s="153" t="str">
        <f t="shared" si="30"/>
        <v>6714</v>
      </c>
      <c r="M424" s="154" t="str">
        <f t="shared" si="31"/>
        <v>PUBLICITE</v>
      </c>
      <c r="N424" s="155">
        <f>+IF(OR($Q424=Parametres!$G$2,$Q424=Parametres!$G$3),I424,C424)</f>
        <v>19881.63</v>
      </c>
      <c r="O424" s="1122">
        <f>+IF(OR($Q424=Parametres!$G$2,$Q424=Parametres!$G$3),J424,D424)</f>
        <v>3836.47</v>
      </c>
      <c r="P424" s="155">
        <f>+IF(OR($Q424=Parametres!$G$2,$Q424=Parametres!$G$3),K424,E424)</f>
        <v>23718.1</v>
      </c>
      <c r="Q424" s="154" t="str">
        <f t="shared" si="32"/>
        <v>7-Dépenses</v>
      </c>
      <c r="R424" s="153" t="str">
        <f t="shared" si="33"/>
        <v>6114</v>
      </c>
      <c r="S424" s="154">
        <f t="shared" si="34"/>
        <v>0</v>
      </c>
      <c r="T424" s="156" t="str">
        <f>+VLOOKUP($L424,Data_Validation!$A:$D,1,0)</f>
        <v>6714</v>
      </c>
      <c r="U424" s="156" t="str">
        <f>+VLOOKUP($L424,Data_Validation!$A:$D,3,0)</f>
        <v>Pièces</v>
      </c>
      <c r="V424" s="156" t="str">
        <f>+VLOOKUP($L424,Data_Validation!$A:$D,4,0)</f>
        <v>Publicité 2</v>
      </c>
      <c r="W424" s="156" t="str">
        <f>+VLOOKUP($L424,Data_Validation!$A:$E,5,0)</f>
        <v>$</v>
      </c>
      <c r="X424" s="156">
        <f>+VLOOKUP($L424,Data_Validation!$A:$F,6,0)</f>
        <v>0</v>
      </c>
    </row>
    <row r="425" spans="1:24" ht="15.75" hidden="1" customHeight="1">
      <c r="A425" s="1147" t="s">
        <v>1357</v>
      </c>
      <c r="B425" s="1147" t="s">
        <v>2715</v>
      </c>
      <c r="C425" s="1149">
        <v>4084.8</v>
      </c>
      <c r="D425" s="1149">
        <v>584.05999999999995</v>
      </c>
      <c r="E425" s="1149">
        <v>4668.8599999999997</v>
      </c>
      <c r="F425" s="1147" t="s">
        <v>401</v>
      </c>
      <c r="G425" s="1147" t="s">
        <v>2648</v>
      </c>
      <c r="H425" s="1013"/>
      <c r="I425" s="1013"/>
      <c r="J425" s="1013"/>
      <c r="K425" s="1013"/>
      <c r="L425" s="153" t="str">
        <f t="shared" si="30"/>
        <v>6721</v>
      </c>
      <c r="M425" s="154" t="str">
        <f t="shared" si="31"/>
        <v>SALAIRES - PROPRIEATIRES</v>
      </c>
      <c r="N425" s="155">
        <f>+IF(OR($Q425=Parametres!$G$2,$Q425=Parametres!$G$3),I425,C425)</f>
        <v>4084.8</v>
      </c>
      <c r="O425" s="1122">
        <f>+IF(OR($Q425=Parametres!$G$2,$Q425=Parametres!$G$3),J425,D425)</f>
        <v>584.05999999999995</v>
      </c>
      <c r="P425" s="155">
        <f>+IF(OR($Q425=Parametres!$G$2,$Q425=Parametres!$G$3),K425,E425)</f>
        <v>4668.8599999999997</v>
      </c>
      <c r="Q425" s="154" t="str">
        <f t="shared" si="32"/>
        <v>7-Dépenses</v>
      </c>
      <c r="R425" s="153" t="str">
        <f t="shared" si="33"/>
        <v>6121</v>
      </c>
      <c r="S425" s="154">
        <f t="shared" si="34"/>
        <v>0</v>
      </c>
      <c r="T425" s="156" t="str">
        <f>+VLOOKUP($L425,Data_Validation!$A:$D,1,0)</f>
        <v>6721</v>
      </c>
      <c r="U425" s="156" t="str">
        <f>+VLOOKUP($L425,Data_Validation!$A:$D,3,0)</f>
        <v>Pièces</v>
      </c>
      <c r="V425" s="156" t="str">
        <f>+VLOOKUP($L425,Data_Validation!$A:$D,4,0)</f>
        <v>Salaires propriétaire</v>
      </c>
      <c r="W425" s="156" t="str">
        <f>+VLOOKUP($L425,Data_Validation!$A:$E,5,0)</f>
        <v>$</v>
      </c>
      <c r="X425" s="156">
        <f>+VLOOKUP($L425,Data_Validation!$A:$F,6,0)</f>
        <v>0</v>
      </c>
    </row>
    <row r="426" spans="1:24" ht="15" hidden="1" customHeight="1">
      <c r="A426" s="1147" t="s">
        <v>2624</v>
      </c>
      <c r="B426" s="1147" t="s">
        <v>2765</v>
      </c>
      <c r="C426" s="1149">
        <v>36475.440000000002</v>
      </c>
      <c r="D426" s="1149">
        <v>4299.82</v>
      </c>
      <c r="E426" s="1149">
        <v>40775.26</v>
      </c>
      <c r="F426" s="1147" t="s">
        <v>401</v>
      </c>
      <c r="G426" s="1147" t="s">
        <v>2626</v>
      </c>
      <c r="H426" s="1013"/>
      <c r="I426" s="1014"/>
      <c r="J426" s="1014"/>
      <c r="K426" s="1014"/>
      <c r="L426" s="153" t="str">
        <f t="shared" si="30"/>
        <v>6722</v>
      </c>
      <c r="M426" s="154" t="str">
        <f t="shared" si="31"/>
        <v>SAL SUPERVISION / GERANT</v>
      </c>
      <c r="N426" s="155">
        <f>+IF(OR($Q426=Parametres!$G$2,$Q426=Parametres!$G$3),I426,C426)</f>
        <v>36475.440000000002</v>
      </c>
      <c r="O426" s="1122">
        <f>+IF(OR($Q426=Parametres!$G$2,$Q426=Parametres!$G$3),J426,D426)</f>
        <v>4299.82</v>
      </c>
      <c r="P426" s="155">
        <f>+IF(OR($Q426=Parametres!$G$2,$Q426=Parametres!$G$3),K426,E426)</f>
        <v>40775.26</v>
      </c>
      <c r="Q426" s="154" t="str">
        <f t="shared" si="32"/>
        <v>7-Dépenses</v>
      </c>
      <c r="R426" s="153" t="str">
        <f t="shared" si="33"/>
        <v>6122</v>
      </c>
      <c r="S426" s="154">
        <f t="shared" si="34"/>
        <v>0</v>
      </c>
      <c r="T426" s="156" t="str">
        <f>+VLOOKUP($L426,Data_Validation!$A:$D,1,0)</f>
        <v>6722</v>
      </c>
      <c r="U426" s="156" t="str">
        <f>+VLOOKUP($L426,Data_Validation!$A:$D,3,0)</f>
        <v>Pièces</v>
      </c>
      <c r="V426" s="156" t="str">
        <f>+VLOOKUP($L426,Data_Validation!$A:$D,4,0)</f>
        <v>Salaires cadres</v>
      </c>
      <c r="W426" s="156" t="str">
        <f>+VLOOKUP($L426,Data_Validation!$A:$E,5,0)</f>
        <v>$</v>
      </c>
      <c r="X426" s="156">
        <f>+VLOOKUP($L426,Data_Validation!$A:$F,6,0)</f>
        <v>0</v>
      </c>
    </row>
    <row r="427" spans="1:24" ht="15" hidden="1" customHeight="1">
      <c r="A427" s="1147" t="s">
        <v>1342</v>
      </c>
      <c r="B427" s="1147" t="s">
        <v>2731</v>
      </c>
      <c r="C427" s="1149">
        <v>24275.99</v>
      </c>
      <c r="D427" s="1149">
        <v>3988</v>
      </c>
      <c r="E427" s="1149">
        <v>28263.99</v>
      </c>
      <c r="F427" s="1147" t="s">
        <v>401</v>
      </c>
      <c r="G427" s="1147" t="s">
        <v>2679</v>
      </c>
      <c r="H427" s="1013"/>
      <c r="I427" s="1013"/>
      <c r="J427" s="1013"/>
      <c r="K427" s="1013"/>
      <c r="L427" s="153" t="str">
        <f t="shared" si="30"/>
        <v>6723</v>
      </c>
      <c r="M427" s="154" t="str">
        <f t="shared" si="31"/>
        <v>SAL. &amp; RENUM. - CLERICAL</v>
      </c>
      <c r="N427" s="155">
        <f>+IF(OR($Q427=Parametres!$G$2,$Q427=Parametres!$G$3),I427,C427)</f>
        <v>24275.99</v>
      </c>
      <c r="O427" s="1122">
        <f>+IF(OR($Q427=Parametres!$G$2,$Q427=Parametres!$G$3),J427,D427)</f>
        <v>3988</v>
      </c>
      <c r="P427" s="155">
        <f>+IF(OR($Q427=Parametres!$G$2,$Q427=Parametres!$G$3),K427,E427)</f>
        <v>28263.99</v>
      </c>
      <c r="Q427" s="154" t="str">
        <f t="shared" si="32"/>
        <v>7-Dépenses</v>
      </c>
      <c r="R427" s="153" t="str">
        <f t="shared" si="33"/>
        <v>6123</v>
      </c>
      <c r="S427" s="154">
        <f t="shared" si="34"/>
        <v>0</v>
      </c>
      <c r="T427" s="156" t="str">
        <f>+VLOOKUP($L427,Data_Validation!$A:$D,1,0)</f>
        <v>6723</v>
      </c>
      <c r="U427" s="156" t="str">
        <f>+VLOOKUP($L427,Data_Validation!$A:$D,3,0)</f>
        <v>Pièces</v>
      </c>
      <c r="V427" s="156" t="str">
        <f>+VLOOKUP($L427,Data_Validation!$A:$D,4,0)</f>
        <v>Salaires commis</v>
      </c>
      <c r="W427" s="156" t="str">
        <f>+VLOOKUP($L427,Data_Validation!$A:$E,5,0)</f>
        <v>$</v>
      </c>
      <c r="X427" s="156">
        <f>+VLOOKUP($L427,Data_Validation!$A:$F,6,0)</f>
        <v>0</v>
      </c>
    </row>
    <row r="428" spans="1:24" ht="15" hidden="1" customHeight="1">
      <c r="A428" s="1147" t="s">
        <v>1249</v>
      </c>
      <c r="B428" s="1147" t="s">
        <v>2800</v>
      </c>
      <c r="C428" s="1149">
        <v>125516.2</v>
      </c>
      <c r="D428" s="1149">
        <v>17949.509999999998</v>
      </c>
      <c r="E428" s="1149">
        <v>143465.71</v>
      </c>
      <c r="F428" s="1147" t="s">
        <v>401</v>
      </c>
      <c r="G428" s="1147" t="s">
        <v>2735</v>
      </c>
      <c r="H428" s="150"/>
      <c r="I428" s="157"/>
      <c r="J428" s="157"/>
      <c r="K428" s="157"/>
      <c r="L428" s="153" t="str">
        <f t="shared" si="30"/>
        <v>6724</v>
      </c>
      <c r="M428" s="154" t="str">
        <f t="shared" si="31"/>
        <v>SALAIRES &amp; RENUM. - AUTRES</v>
      </c>
      <c r="N428" s="155">
        <f>+IF(OR($Q428=Parametres!$G$2,$Q428=Parametres!$G$3),I428,C428)</f>
        <v>125516.2</v>
      </c>
      <c r="O428" s="1122">
        <f>+IF(OR($Q428=Parametres!$G$2,$Q428=Parametres!$G$3),J428,D428)</f>
        <v>17949.509999999998</v>
      </c>
      <c r="P428" s="155">
        <f>+IF(OR($Q428=Parametres!$G$2,$Q428=Parametres!$G$3),K428,E428)</f>
        <v>143465.71</v>
      </c>
      <c r="Q428" s="154" t="str">
        <f t="shared" si="32"/>
        <v>7-Dépenses</v>
      </c>
      <c r="R428" s="153" t="str">
        <f t="shared" si="33"/>
        <v>6124</v>
      </c>
      <c r="S428" s="154">
        <f t="shared" si="34"/>
        <v>0</v>
      </c>
      <c r="T428" s="156" t="str">
        <f>+VLOOKUP($L428,Data_Validation!$A:$D,1,0)</f>
        <v>6724</v>
      </c>
      <c r="U428" s="156" t="str">
        <f>+VLOOKUP($L428,Data_Validation!$A:$D,3,0)</f>
        <v>Pièces</v>
      </c>
      <c r="V428" s="156" t="str">
        <f>+VLOOKUP($L428,Data_Validation!$A:$D,4,0)</f>
        <v>Salaires autres</v>
      </c>
      <c r="W428" s="156" t="str">
        <f>+VLOOKUP($L428,Data_Validation!$A:$E,5,0)</f>
        <v>$</v>
      </c>
      <c r="X428" s="156">
        <f>+VLOOKUP($L428,Data_Validation!$A:$F,6,0)</f>
        <v>0</v>
      </c>
    </row>
    <row r="429" spans="1:24" ht="15" hidden="1" customHeight="1">
      <c r="A429" s="1147" t="s">
        <v>1328</v>
      </c>
      <c r="B429" s="1147" t="s">
        <v>2722</v>
      </c>
      <c r="C429" s="1149">
        <v>18664.05</v>
      </c>
      <c r="D429" s="1149">
        <v>3361.6</v>
      </c>
      <c r="E429" s="1149">
        <v>22025.65</v>
      </c>
      <c r="F429" s="1147" t="s">
        <v>401</v>
      </c>
      <c r="G429" s="1147" t="s">
        <v>2641</v>
      </c>
      <c r="H429" s="150"/>
      <c r="I429" s="157"/>
      <c r="J429" s="157"/>
      <c r="K429" s="157"/>
      <c r="L429" s="153" t="str">
        <f t="shared" si="30"/>
        <v>6729</v>
      </c>
      <c r="M429" s="154" t="str">
        <f t="shared" si="31"/>
        <v>ABSENCES, VACANCES, ETC</v>
      </c>
      <c r="N429" s="155">
        <f>+IF(OR($Q429=Parametres!$G$2,$Q429=Parametres!$G$3),I429,C429)</f>
        <v>18664.05</v>
      </c>
      <c r="O429" s="1122">
        <f>+IF(OR($Q429=Parametres!$G$2,$Q429=Parametres!$G$3),J429,D429)</f>
        <v>3361.6</v>
      </c>
      <c r="P429" s="155">
        <f>+IF(OR($Q429=Parametres!$G$2,$Q429=Parametres!$G$3),K429,E429)</f>
        <v>22025.65</v>
      </c>
      <c r="Q429" s="154" t="str">
        <f t="shared" si="32"/>
        <v>7-Dépenses</v>
      </c>
      <c r="R429" s="153" t="str">
        <f t="shared" si="33"/>
        <v>6129</v>
      </c>
      <c r="S429" s="154">
        <f t="shared" si="34"/>
        <v>0</v>
      </c>
      <c r="T429" s="156" t="str">
        <f>+VLOOKUP($L429,Data_Validation!$A:$D,1,0)</f>
        <v>6729</v>
      </c>
      <c r="U429" s="156" t="str">
        <f>+VLOOKUP($L429,Data_Validation!$A:$D,3,0)</f>
        <v>Pièces</v>
      </c>
      <c r="V429" s="156" t="str">
        <f>+VLOOKUP($L429,Data_Validation!$A:$D,4,0)</f>
        <v>Salaires en absences</v>
      </c>
      <c r="W429" s="156" t="str">
        <f>+VLOOKUP($L429,Data_Validation!$A:$E,5,0)</f>
        <v>$</v>
      </c>
      <c r="X429" s="156">
        <f>+VLOOKUP($L429,Data_Validation!$A:$F,6,0)</f>
        <v>0</v>
      </c>
    </row>
    <row r="430" spans="1:24" ht="15" hidden="1" customHeight="1">
      <c r="A430" s="1147" t="s">
        <v>1252</v>
      </c>
      <c r="B430" s="1147" t="s">
        <v>2667</v>
      </c>
      <c r="C430" s="1149">
        <v>-26016.78</v>
      </c>
      <c r="D430" s="1149">
        <v>-5244.22</v>
      </c>
      <c r="E430" s="1149">
        <v>-31261</v>
      </c>
      <c r="F430" s="1147" t="s">
        <v>401</v>
      </c>
      <c r="G430" s="1147" t="s">
        <v>2586</v>
      </c>
      <c r="H430" s="150"/>
      <c r="I430" s="151"/>
      <c r="J430" s="151"/>
      <c r="K430" s="151"/>
      <c r="L430" s="153" t="str">
        <f t="shared" si="30"/>
        <v>6731</v>
      </c>
      <c r="M430" s="154" t="str">
        <f t="shared" si="31"/>
        <v>CSST</v>
      </c>
      <c r="N430" s="155">
        <f>+IF(OR($Q430=Parametres!$G$2,$Q430=Parametres!$G$3),I430,C430)</f>
        <v>-26016.78</v>
      </c>
      <c r="O430" s="1122">
        <f>+IF(OR($Q430=Parametres!$G$2,$Q430=Parametres!$G$3),J430,D430)</f>
        <v>-5244.22</v>
      </c>
      <c r="P430" s="155">
        <f>+IF(OR($Q430=Parametres!$G$2,$Q430=Parametres!$G$3),K430,E430)</f>
        <v>-31261</v>
      </c>
      <c r="Q430" s="154" t="str">
        <f t="shared" si="32"/>
        <v>7-Dépenses</v>
      </c>
      <c r="R430" s="153" t="str">
        <f t="shared" si="33"/>
        <v>6131</v>
      </c>
      <c r="S430" s="154">
        <f t="shared" si="34"/>
        <v>0</v>
      </c>
      <c r="T430" s="156" t="str">
        <f>+VLOOKUP($L430,Data_Validation!$A:$D,1,0)</f>
        <v>6731</v>
      </c>
      <c r="U430" s="156" t="str">
        <f>+VLOOKUP($L430,Data_Validation!$A:$D,3,0)</f>
        <v>Pièces</v>
      </c>
      <c r="V430" s="156" t="str">
        <f>+VLOOKUP($L430,Data_Validation!$A:$D,4,0)</f>
        <v>Csst</v>
      </c>
      <c r="W430" s="156" t="str">
        <f>+VLOOKUP($L430,Data_Validation!$A:$E,5,0)</f>
        <v>$</v>
      </c>
      <c r="X430" s="156">
        <f>+VLOOKUP($L430,Data_Validation!$A:$F,6,0)</f>
        <v>0</v>
      </c>
    </row>
    <row r="431" spans="1:24" ht="15.75" hidden="1" customHeight="1">
      <c r="A431" s="1147" t="s">
        <v>1283</v>
      </c>
      <c r="B431" s="1147" t="s">
        <v>2733</v>
      </c>
      <c r="C431" s="1149">
        <v>52687.08</v>
      </c>
      <c r="D431" s="1149">
        <v>8867.24</v>
      </c>
      <c r="E431" s="1149">
        <v>61554.32</v>
      </c>
      <c r="F431" s="1147" t="s">
        <v>401</v>
      </c>
      <c r="G431" s="1147" t="s">
        <v>2685</v>
      </c>
      <c r="H431" s="150"/>
      <c r="I431" s="151"/>
      <c r="J431" s="151"/>
      <c r="K431" s="151"/>
      <c r="L431" s="153" t="str">
        <f t="shared" si="30"/>
        <v>6732</v>
      </c>
      <c r="M431" s="154" t="str">
        <f t="shared" si="31"/>
        <v>RRQ RAMQ AC</v>
      </c>
      <c r="N431" s="155">
        <f>+IF(OR($Q431=Parametres!$G$2,$Q431=Parametres!$G$3),I431,C431)</f>
        <v>52687.08</v>
      </c>
      <c r="O431" s="1122">
        <f>+IF(OR($Q431=Parametres!$G$2,$Q431=Parametres!$G$3),J431,D431)</f>
        <v>8867.24</v>
      </c>
      <c r="P431" s="155">
        <f>+IF(OR($Q431=Parametres!$G$2,$Q431=Parametres!$G$3),K431,E431)</f>
        <v>61554.32</v>
      </c>
      <c r="Q431" s="154" t="str">
        <f t="shared" si="32"/>
        <v>7-Dépenses</v>
      </c>
      <c r="R431" s="153" t="str">
        <f t="shared" si="33"/>
        <v>6132</v>
      </c>
      <c r="S431" s="154">
        <f t="shared" si="34"/>
        <v>0</v>
      </c>
      <c r="T431" s="156" t="str">
        <f>+VLOOKUP($L431,Data_Validation!$A:$D,1,0)</f>
        <v>6732</v>
      </c>
      <c r="U431" s="156" t="str">
        <f>+VLOOKUP($L431,Data_Validation!$A:$D,3,0)</f>
        <v>Pièces</v>
      </c>
      <c r="V431" s="156" t="str">
        <f>+VLOOKUP($L431,Data_Validation!$A:$D,4,0)</f>
        <v>Csst</v>
      </c>
      <c r="W431" s="156" t="str">
        <f>+VLOOKUP($L431,Data_Validation!$A:$E,5,0)</f>
        <v>$</v>
      </c>
      <c r="X431" s="156">
        <f>+VLOOKUP($L431,Data_Validation!$A:$F,6,0)</f>
        <v>0</v>
      </c>
    </row>
    <row r="432" spans="1:24" ht="15" hidden="1" customHeight="1">
      <c r="A432" s="1147" t="s">
        <v>1164</v>
      </c>
      <c r="B432" s="1147" t="s">
        <v>2578</v>
      </c>
      <c r="C432" s="1149">
        <v>260.51</v>
      </c>
      <c r="D432" s="1149">
        <v>48.61</v>
      </c>
      <c r="E432" s="1149">
        <v>309.12</v>
      </c>
      <c r="F432" s="1147" t="s">
        <v>401</v>
      </c>
      <c r="G432" s="1147" t="s">
        <v>2579</v>
      </c>
      <c r="H432" s="948"/>
      <c r="I432" s="948"/>
      <c r="J432" s="948"/>
      <c r="K432" s="948"/>
      <c r="L432" s="153" t="str">
        <f t="shared" si="30"/>
        <v>6733</v>
      </c>
      <c r="M432" s="154" t="str">
        <f t="shared" si="31"/>
        <v>FOND PENSION - PIECES</v>
      </c>
      <c r="N432" s="155">
        <f>+IF(OR($Q432=Parametres!$G$2,$Q432=Parametres!$G$3),I432,C432)</f>
        <v>260.51</v>
      </c>
      <c r="O432" s="1120">
        <f>+IF(OR($Q432=Parametres!$G$2,$Q432=Parametres!$G$3),J432,D432)</f>
        <v>48.61</v>
      </c>
      <c r="P432" s="155">
        <f>+IF(OR($Q432=Parametres!$G$2,$Q432=Parametres!$G$3),K432,E432)</f>
        <v>309.12</v>
      </c>
      <c r="Q432" s="154" t="str">
        <f t="shared" si="32"/>
        <v>7-Dépenses</v>
      </c>
      <c r="R432" s="153" t="str">
        <f t="shared" si="33"/>
        <v>6133</v>
      </c>
      <c r="S432" s="154">
        <f t="shared" si="34"/>
        <v>0</v>
      </c>
      <c r="T432" s="156" t="str">
        <f>+VLOOKUP($L432,Data_Validation!$A:$D,1,0)</f>
        <v>6733</v>
      </c>
      <c r="U432" s="156" t="str">
        <f>+VLOOKUP($L432,Data_Validation!$A:$D,3,0)</f>
        <v>Pièces</v>
      </c>
      <c r="V432" s="156" t="str">
        <f>+VLOOKUP($L432,Data_Validation!$A:$D,4,0)</f>
        <v>Déduction à la source</v>
      </c>
      <c r="W432" s="156" t="str">
        <f>+VLOOKUP($L432,Data_Validation!$A:$E,5,0)</f>
        <v>$</v>
      </c>
      <c r="X432" s="156">
        <f>+VLOOKUP($L432,Data_Validation!$A:$F,6,0)</f>
        <v>0</v>
      </c>
    </row>
    <row r="433" spans="1:24" ht="15" hidden="1" customHeight="1">
      <c r="A433" s="1147" t="s">
        <v>1305</v>
      </c>
      <c r="B433" s="1147" t="s">
        <v>2744</v>
      </c>
      <c r="C433" s="1149">
        <v>15574.73</v>
      </c>
      <c r="D433" s="1149">
        <v>2255.4299999999998</v>
      </c>
      <c r="E433" s="1149">
        <v>17830.16</v>
      </c>
      <c r="F433" s="1147" t="s">
        <v>401</v>
      </c>
      <c r="G433" s="1147" t="s">
        <v>2694</v>
      </c>
      <c r="H433" s="150"/>
      <c r="I433" s="151"/>
      <c r="J433" s="151"/>
      <c r="K433" s="151"/>
      <c r="L433" s="153" t="str">
        <f t="shared" si="30"/>
        <v>6739</v>
      </c>
      <c r="M433" s="154" t="str">
        <f t="shared" si="31"/>
        <v>ASSURANCE GROUPE</v>
      </c>
      <c r="N433" s="155">
        <f>+IF(OR($Q433=Parametres!$G$2,$Q433=Parametres!$G$3),I433,C433)</f>
        <v>15574.73</v>
      </c>
      <c r="O433" s="1122">
        <f>+IF(OR($Q433=Parametres!$G$2,$Q433=Parametres!$G$3),J433,D433)</f>
        <v>2255.4299999999998</v>
      </c>
      <c r="P433" s="155">
        <f>+IF(OR($Q433=Parametres!$G$2,$Q433=Parametres!$G$3),K433,E433)</f>
        <v>17830.16</v>
      </c>
      <c r="Q433" s="154" t="str">
        <f t="shared" si="32"/>
        <v>7-Dépenses</v>
      </c>
      <c r="R433" s="153" t="str">
        <f t="shared" si="33"/>
        <v>6139</v>
      </c>
      <c r="S433" s="154">
        <f t="shared" si="34"/>
        <v>0</v>
      </c>
      <c r="T433" s="156" t="str">
        <f>+VLOOKUP($L433,Data_Validation!$A:$D,1,0)</f>
        <v>6739</v>
      </c>
      <c r="U433" s="156" t="str">
        <f>+VLOOKUP($L433,Data_Validation!$A:$D,3,0)</f>
        <v>Pièces</v>
      </c>
      <c r="V433" s="156" t="str">
        <f>+VLOOKUP($L433,Data_Validation!$A:$D,4,0)</f>
        <v>Bénéfices marginaux</v>
      </c>
      <c r="W433" s="156" t="str">
        <f>+VLOOKUP($L433,Data_Validation!$A:$E,5,0)</f>
        <v>$</v>
      </c>
      <c r="X433" s="156">
        <f>+VLOOKUP($L433,Data_Validation!$A:$F,6,0)</f>
        <v>0</v>
      </c>
    </row>
    <row r="434" spans="1:24" ht="15" hidden="1" customHeight="1">
      <c r="A434" s="1147" t="s">
        <v>1157</v>
      </c>
      <c r="B434" s="1147" t="s">
        <v>2598</v>
      </c>
      <c r="C434" s="1149">
        <v>1035.27</v>
      </c>
      <c r="D434" s="1149">
        <v>28.95</v>
      </c>
      <c r="E434" s="1149">
        <v>1064.22</v>
      </c>
      <c r="F434" s="1147" t="s">
        <v>401</v>
      </c>
      <c r="G434" s="1147" t="s">
        <v>2563</v>
      </c>
      <c r="H434" s="150"/>
      <c r="I434" s="151"/>
      <c r="J434" s="151"/>
      <c r="K434" s="151"/>
      <c r="L434" s="153" t="str">
        <f t="shared" si="30"/>
        <v>6742</v>
      </c>
      <c r="M434" s="154" t="str">
        <f t="shared" si="31"/>
        <v>FOURNITURES &amp; PETITS OUTILS</v>
      </c>
      <c r="N434" s="155">
        <f>+IF(OR($Q434=Parametres!$G$2,$Q434=Parametres!$G$3),I434,C434)</f>
        <v>1035.27</v>
      </c>
      <c r="O434" s="1122">
        <f>+IF(OR($Q434=Parametres!$G$2,$Q434=Parametres!$G$3),J434,D434)</f>
        <v>28.95</v>
      </c>
      <c r="P434" s="155">
        <f>+IF(OR($Q434=Parametres!$G$2,$Q434=Parametres!$G$3),K434,E434)</f>
        <v>1064.22</v>
      </c>
      <c r="Q434" s="154" t="str">
        <f t="shared" si="32"/>
        <v>7-Dépenses</v>
      </c>
      <c r="R434" s="153" t="str">
        <f t="shared" si="33"/>
        <v>6142</v>
      </c>
      <c r="S434" s="154">
        <f t="shared" si="34"/>
        <v>0</v>
      </c>
      <c r="T434" s="156" t="str">
        <f>+VLOOKUP($L434,Data_Validation!$A:$D,1,0)</f>
        <v>6742</v>
      </c>
      <c r="U434" s="156" t="str">
        <f>+VLOOKUP($L434,Data_Validation!$A:$D,3,0)</f>
        <v>Pièces</v>
      </c>
      <c r="V434" s="156" t="str">
        <f>+VLOOKUP($L434,Data_Validation!$A:$D,4,0)</f>
        <v>Fournitures autres</v>
      </c>
      <c r="W434" s="156" t="str">
        <f>+VLOOKUP($L434,Data_Validation!$A:$E,5,0)</f>
        <v>$</v>
      </c>
      <c r="X434" s="156">
        <f>+VLOOKUP($L434,Data_Validation!$A:$F,6,0)</f>
        <v>0</v>
      </c>
    </row>
    <row r="435" spans="1:24" ht="15.75" hidden="1" customHeight="1">
      <c r="A435" s="1147" t="s">
        <v>934</v>
      </c>
      <c r="B435" s="1147" t="s">
        <v>2573</v>
      </c>
      <c r="C435" s="1149">
        <v>382.84</v>
      </c>
      <c r="D435" s="1149">
        <v>22.14</v>
      </c>
      <c r="E435" s="1149">
        <v>404.98</v>
      </c>
      <c r="F435" s="1147" t="s">
        <v>401</v>
      </c>
      <c r="G435" s="1147" t="s">
        <v>2561</v>
      </c>
      <c r="H435" s="150"/>
      <c r="I435" s="151"/>
      <c r="J435" s="151"/>
      <c r="K435" s="151"/>
      <c r="L435" s="153" t="str">
        <f t="shared" si="30"/>
        <v>6744</v>
      </c>
      <c r="M435" s="154" t="str">
        <f t="shared" si="31"/>
        <v>FORMATION</v>
      </c>
      <c r="N435" s="155">
        <f>+IF(OR($Q435=Parametres!$G$2,$Q435=Parametres!$G$3),I435,C435)</f>
        <v>382.84</v>
      </c>
      <c r="O435" s="1122">
        <f>+IF(OR($Q435=Parametres!$G$2,$Q435=Parametres!$G$3),J435,D435)</f>
        <v>22.14</v>
      </c>
      <c r="P435" s="155">
        <f>+IF(OR($Q435=Parametres!$G$2,$Q435=Parametres!$G$3),K435,E435)</f>
        <v>404.98</v>
      </c>
      <c r="Q435" s="154" t="str">
        <f t="shared" si="32"/>
        <v>7-Dépenses</v>
      </c>
      <c r="R435" s="153" t="str">
        <f t="shared" si="33"/>
        <v>6144</v>
      </c>
      <c r="S435" s="154">
        <f t="shared" si="34"/>
        <v>0</v>
      </c>
      <c r="T435" s="156" t="str">
        <f>+VLOOKUP($L435,Data_Validation!$A:$D,1,0)</f>
        <v>6744</v>
      </c>
      <c r="U435" s="156" t="str">
        <f>+VLOOKUP($L435,Data_Validation!$A:$D,3,0)</f>
        <v>Pièces</v>
      </c>
      <c r="V435" s="156" t="str">
        <f>+VLOOKUP($L435,Data_Validation!$A:$D,4,0)</f>
        <v>Formation</v>
      </c>
      <c r="W435" s="156" t="str">
        <f>+VLOOKUP($L435,Data_Validation!$A:$E,5,0)</f>
        <v>$</v>
      </c>
      <c r="X435" s="156">
        <f>+VLOOKUP($L435,Data_Validation!$A:$F,6,0)</f>
        <v>0</v>
      </c>
    </row>
    <row r="436" spans="1:24" ht="15" hidden="1" customHeight="1">
      <c r="A436" s="1147" t="s">
        <v>1186</v>
      </c>
      <c r="B436" s="1147" t="s">
        <v>2631</v>
      </c>
      <c r="C436" s="1149">
        <v>1806.79</v>
      </c>
      <c r="D436" s="1149">
        <v>348.59</v>
      </c>
      <c r="E436" s="1149">
        <v>2155.38</v>
      </c>
      <c r="F436" s="1147" t="s">
        <v>401</v>
      </c>
      <c r="G436" s="1147" t="s">
        <v>2632</v>
      </c>
      <c r="H436" s="150"/>
      <c r="I436" s="151"/>
      <c r="J436" s="151"/>
      <c r="K436" s="151"/>
      <c r="L436" s="153" t="str">
        <f t="shared" si="30"/>
        <v>6745</v>
      </c>
      <c r="M436" s="154" t="str">
        <f t="shared" si="31"/>
        <v>VEHICULE DE COMPAGNIE - DEPENS</v>
      </c>
      <c r="N436" s="155">
        <f>+IF(OR($Q436=Parametres!$G$2,$Q436=Parametres!$G$3),I436,C436)</f>
        <v>1806.79</v>
      </c>
      <c r="O436" s="1122">
        <f>+IF(OR($Q436=Parametres!$G$2,$Q436=Parametres!$G$3),J436,D436)</f>
        <v>348.59</v>
      </c>
      <c r="P436" s="155">
        <f>+IF(OR($Q436=Parametres!$G$2,$Q436=Parametres!$G$3),K436,E436)</f>
        <v>2155.38</v>
      </c>
      <c r="Q436" s="154" t="str">
        <f t="shared" si="32"/>
        <v>7-Dépenses</v>
      </c>
      <c r="R436" s="153" t="str">
        <f t="shared" si="33"/>
        <v>6145</v>
      </c>
      <c r="S436" s="154">
        <f t="shared" si="34"/>
        <v>0</v>
      </c>
      <c r="T436" s="156" t="str">
        <f>+VLOOKUP($L436,Data_Validation!$A:$D,1,0)</f>
        <v>6745</v>
      </c>
      <c r="U436" s="156" t="str">
        <f>+VLOOKUP($L436,Data_Validation!$A:$D,3,0)</f>
        <v>Pièces</v>
      </c>
      <c r="V436" s="156" t="str">
        <f>+VLOOKUP($L436,Data_Validation!$A:$D,4,0)</f>
        <v>Frais véhicules de cie</v>
      </c>
      <c r="W436" s="156" t="str">
        <f>+VLOOKUP($L436,Data_Validation!$A:$E,5,0)</f>
        <v>$</v>
      </c>
      <c r="X436" s="156">
        <f>+VLOOKUP($L436,Data_Validation!$A:$F,6,0)</f>
        <v>0</v>
      </c>
    </row>
    <row r="437" spans="1:24" ht="15" hidden="1" customHeight="1">
      <c r="A437" s="1147" t="s">
        <v>1180</v>
      </c>
      <c r="B437" s="1147" t="s">
        <v>2610</v>
      </c>
      <c r="C437" s="1149">
        <v>74.72</v>
      </c>
      <c r="D437" s="1149">
        <v>87.25</v>
      </c>
      <c r="E437" s="1149">
        <v>161.97</v>
      </c>
      <c r="F437" s="1147" t="s">
        <v>401</v>
      </c>
      <c r="G437" s="1147" t="s">
        <v>2581</v>
      </c>
      <c r="H437" s="150"/>
      <c r="I437" s="151"/>
      <c r="J437" s="151"/>
      <c r="K437" s="151"/>
      <c r="L437" s="153" t="str">
        <f t="shared" si="30"/>
        <v>6747</v>
      </c>
      <c r="M437" s="154" t="str">
        <f t="shared" si="31"/>
        <v>FRET/EXPRESS/TRANS. PAR CAMION</v>
      </c>
      <c r="N437" s="155">
        <f>+IF(OR($Q437=Parametres!$G$2,$Q437=Parametres!$G$3),I437,C437)</f>
        <v>74.72</v>
      </c>
      <c r="O437" s="1122">
        <f>+IF(OR($Q437=Parametres!$G$2,$Q437=Parametres!$G$3),J437,D437)</f>
        <v>87.25</v>
      </c>
      <c r="P437" s="155">
        <f>+IF(OR($Q437=Parametres!$G$2,$Q437=Parametres!$G$3),K437,E437)</f>
        <v>161.97</v>
      </c>
      <c r="Q437" s="154" t="str">
        <f t="shared" si="32"/>
        <v>7-Dépenses</v>
      </c>
      <c r="R437" s="153" t="str">
        <f t="shared" si="33"/>
        <v>6147</v>
      </c>
      <c r="S437" s="154">
        <f t="shared" si="34"/>
        <v>0</v>
      </c>
      <c r="T437" s="156" t="str">
        <f>+VLOOKUP($L437,Data_Validation!$A:$D,1,0)</f>
        <v>6747</v>
      </c>
      <c r="U437" s="156" t="str">
        <f>+VLOOKUP($L437,Data_Validation!$A:$D,3,0)</f>
        <v>Pièces</v>
      </c>
      <c r="V437" s="156" t="str">
        <f>+VLOOKUP($L437,Data_Validation!$A:$D,4,0)</f>
        <v>Frais postaux</v>
      </c>
      <c r="W437" s="156" t="str">
        <f>+VLOOKUP($L437,Data_Validation!$A:$E,5,0)</f>
        <v>$</v>
      </c>
      <c r="X437" s="156">
        <f>+VLOOKUP($L437,Data_Validation!$A:$F,6,0)</f>
        <v>0</v>
      </c>
    </row>
    <row r="438" spans="1:24" ht="15" hidden="1" customHeight="1">
      <c r="A438" s="1147" t="s">
        <v>1286</v>
      </c>
      <c r="B438" s="1147" t="s">
        <v>2739</v>
      </c>
      <c r="C438" s="1149">
        <v>22159.46</v>
      </c>
      <c r="D438" s="1149">
        <v>4099.2299999999996</v>
      </c>
      <c r="E438" s="1149">
        <v>26258.69</v>
      </c>
      <c r="F438" s="1147" t="s">
        <v>401</v>
      </c>
      <c r="G438" s="1147" t="s">
        <v>2702</v>
      </c>
      <c r="H438" s="1118"/>
      <c r="I438" s="1118"/>
      <c r="J438" s="1118"/>
      <c r="K438" s="1118"/>
      <c r="L438" s="153" t="str">
        <f t="shared" si="30"/>
        <v>6751</v>
      </c>
      <c r="M438" s="154" t="str">
        <f t="shared" si="31"/>
        <v>DEP. DU TRAITEMENT DES DONNEES</v>
      </c>
      <c r="N438" s="155">
        <f>+IF(OR($Q438=Parametres!$G$2,$Q438=Parametres!$G$3),I438,C438)</f>
        <v>22159.46</v>
      </c>
      <c r="O438" s="1122">
        <f>+IF(OR($Q438=Parametres!$G$2,$Q438=Parametres!$G$3),J438,D438)</f>
        <v>4099.2299999999996</v>
      </c>
      <c r="P438" s="155">
        <f>+IF(OR($Q438=Parametres!$G$2,$Q438=Parametres!$G$3),K438,E438)</f>
        <v>26258.69</v>
      </c>
      <c r="Q438" s="154" t="str">
        <f t="shared" si="32"/>
        <v>7-Dépenses</v>
      </c>
      <c r="R438" s="153" t="str">
        <f t="shared" si="33"/>
        <v>6151</v>
      </c>
      <c r="S438" s="154">
        <f t="shared" si="34"/>
        <v>0</v>
      </c>
      <c r="T438" s="156" t="str">
        <f>+VLOOKUP($L438,Data_Validation!$A:$D,1,0)</f>
        <v>6751</v>
      </c>
      <c r="U438" s="156" t="str">
        <f>+VLOOKUP($L438,Data_Validation!$A:$D,3,0)</f>
        <v>Pièces</v>
      </c>
      <c r="V438" s="156" t="str">
        <f>+VLOOKUP($L438,Data_Validation!$A:$D,4,0)</f>
        <v>Informatique</v>
      </c>
      <c r="W438" s="156" t="str">
        <f>+VLOOKUP($L438,Data_Validation!$A:$E,5,0)</f>
        <v>$</v>
      </c>
      <c r="X438" s="156">
        <f>+VLOOKUP($L438,Data_Validation!$A:$F,6,0)</f>
        <v>0</v>
      </c>
    </row>
    <row r="439" spans="1:24" ht="15" hidden="1" customHeight="1">
      <c r="A439" s="1147" t="s">
        <v>1206</v>
      </c>
      <c r="B439" s="1147" t="s">
        <v>2646</v>
      </c>
      <c r="C439" s="1149">
        <v>3040.18</v>
      </c>
      <c r="D439" s="1149">
        <v>364.56</v>
      </c>
      <c r="E439" s="1149">
        <v>3404.74</v>
      </c>
      <c r="F439" s="1147" t="s">
        <v>401</v>
      </c>
      <c r="G439" s="1147" t="s">
        <v>2588</v>
      </c>
      <c r="H439" s="948"/>
      <c r="I439" s="947"/>
      <c r="J439" s="947"/>
      <c r="K439" s="947"/>
      <c r="L439" s="153" t="str">
        <f t="shared" si="30"/>
        <v>6752</v>
      </c>
      <c r="M439" s="154" t="str">
        <f t="shared" si="31"/>
        <v>PAPETERIE</v>
      </c>
      <c r="N439" s="155">
        <f>+IF(OR($Q439=Parametres!$G$2,$Q439=Parametres!$G$3),I439,C439)</f>
        <v>3040.18</v>
      </c>
      <c r="O439" s="1122">
        <f>+IF(OR($Q439=Parametres!$G$2,$Q439=Parametres!$G$3),J439,D439)</f>
        <v>364.56</v>
      </c>
      <c r="P439" s="155">
        <f>+IF(OR($Q439=Parametres!$G$2,$Q439=Parametres!$G$3),K439,E439)</f>
        <v>3404.74</v>
      </c>
      <c r="Q439" s="154" t="str">
        <f t="shared" si="32"/>
        <v>7-Dépenses</v>
      </c>
      <c r="R439" s="153" t="str">
        <f t="shared" si="33"/>
        <v>6152</v>
      </c>
      <c r="S439" s="154">
        <f t="shared" si="34"/>
        <v>0</v>
      </c>
      <c r="T439" s="156" t="str">
        <f>+VLOOKUP($L439,Data_Validation!$A:$D,1,0)</f>
        <v>6752</v>
      </c>
      <c r="U439" s="156" t="str">
        <f>+VLOOKUP($L439,Data_Validation!$A:$D,3,0)</f>
        <v>Pièces</v>
      </c>
      <c r="V439" s="156" t="str">
        <f>+VLOOKUP($L439,Data_Validation!$A:$D,4,0)</f>
        <v>Papeterie</v>
      </c>
      <c r="W439" s="156" t="str">
        <f>+VLOOKUP($L439,Data_Validation!$A:$E,5,0)</f>
        <v>$</v>
      </c>
      <c r="X439" s="156">
        <f>+VLOOKUP($L439,Data_Validation!$A:$F,6,0)</f>
        <v>0</v>
      </c>
    </row>
    <row r="440" spans="1:24" ht="15" hidden="1" customHeight="1">
      <c r="A440" s="1147" t="s">
        <v>1154</v>
      </c>
      <c r="B440" s="1147" t="s">
        <v>2630</v>
      </c>
      <c r="C440" s="1149">
        <v>985.57</v>
      </c>
      <c r="D440" s="1149">
        <v>69.69</v>
      </c>
      <c r="E440" s="1149">
        <v>1055.26</v>
      </c>
      <c r="F440" s="1147" t="s">
        <v>401</v>
      </c>
      <c r="G440" s="1147" t="s">
        <v>2592</v>
      </c>
      <c r="H440" s="1118"/>
      <c r="I440" s="1118"/>
      <c r="J440" s="1118"/>
      <c r="K440" s="1118"/>
      <c r="L440" s="153" t="str">
        <f t="shared" si="30"/>
        <v>6753</v>
      </c>
      <c r="M440" s="154" t="str">
        <f t="shared" si="31"/>
        <v>TELEPHONE ET TELEX</v>
      </c>
      <c r="N440" s="155">
        <f>+IF(OR($Q440=Parametres!$G$2,$Q440=Parametres!$G$3),I440,C440)</f>
        <v>985.57</v>
      </c>
      <c r="O440" s="1122">
        <f>+IF(OR($Q440=Parametres!$G$2,$Q440=Parametres!$G$3),J440,D440)</f>
        <v>69.69</v>
      </c>
      <c r="P440" s="155">
        <f>+IF(OR($Q440=Parametres!$G$2,$Q440=Parametres!$G$3),K440,E440)</f>
        <v>1055.26</v>
      </c>
      <c r="Q440" s="154" t="str">
        <f t="shared" si="32"/>
        <v>7-Dépenses</v>
      </c>
      <c r="R440" s="153" t="str">
        <f t="shared" si="33"/>
        <v>6153</v>
      </c>
      <c r="S440" s="154">
        <f t="shared" si="34"/>
        <v>0</v>
      </c>
      <c r="T440" s="156" t="str">
        <f>+VLOOKUP($L440,Data_Validation!$A:$D,1,0)</f>
        <v>6753</v>
      </c>
      <c r="U440" s="156" t="str">
        <f>+VLOOKUP($L440,Data_Validation!$A:$D,3,0)</f>
        <v>Pièces</v>
      </c>
      <c r="V440" s="156" t="str">
        <f>+VLOOKUP($L440,Data_Validation!$A:$D,4,0)</f>
        <v>Téléphone</v>
      </c>
      <c r="W440" s="156" t="str">
        <f>+VLOOKUP($L440,Data_Validation!$A:$E,5,0)</f>
        <v>$</v>
      </c>
      <c r="X440" s="156">
        <f>+VLOOKUP($L440,Data_Validation!$A:$F,6,0)</f>
        <v>0</v>
      </c>
    </row>
    <row r="441" spans="1:24" ht="15.75" hidden="1" customHeight="1">
      <c r="A441" s="1147" t="s">
        <v>1237</v>
      </c>
      <c r="B441" s="1147" t="s">
        <v>2704</v>
      </c>
      <c r="C441" s="1149">
        <v>3161.74</v>
      </c>
      <c r="D441" s="1149">
        <v>627.91999999999996</v>
      </c>
      <c r="E441" s="1149">
        <v>3789.66</v>
      </c>
      <c r="F441" s="1147" t="s">
        <v>401</v>
      </c>
      <c r="G441" s="1147" t="s">
        <v>2637</v>
      </c>
      <c r="H441" s="1118"/>
      <c r="I441" s="1118"/>
      <c r="J441" s="1118"/>
      <c r="K441" s="1118"/>
      <c r="L441" s="153" t="str">
        <f t="shared" si="30"/>
        <v>6755</v>
      </c>
      <c r="M441" s="154" t="str">
        <f t="shared" si="31"/>
        <v>DEPENSES DIVERS</v>
      </c>
      <c r="N441" s="155">
        <f>+IF(OR($Q441=Parametres!$G$2,$Q441=Parametres!$G$3),I441,C441)</f>
        <v>3161.74</v>
      </c>
      <c r="O441" s="1122">
        <f>+IF(OR($Q441=Parametres!$G$2,$Q441=Parametres!$G$3),J441,D441)</f>
        <v>627.91999999999996</v>
      </c>
      <c r="P441" s="155">
        <f>+IF(OR($Q441=Parametres!$G$2,$Q441=Parametres!$G$3),K441,E441)</f>
        <v>3789.66</v>
      </c>
      <c r="Q441" s="154" t="str">
        <f t="shared" si="32"/>
        <v>7-Dépenses</v>
      </c>
      <c r="R441" s="153" t="str">
        <f t="shared" si="33"/>
        <v>6155</v>
      </c>
      <c r="S441" s="154">
        <f t="shared" si="34"/>
        <v>0</v>
      </c>
      <c r="T441" s="156" t="str">
        <f>+VLOOKUP($L441,Data_Validation!$A:$D,1,0)</f>
        <v>6755</v>
      </c>
      <c r="U441" s="156" t="str">
        <f>+VLOOKUP($L441,Data_Validation!$A:$D,3,0)</f>
        <v>Pièces</v>
      </c>
      <c r="V441" s="156" t="str">
        <f>+VLOOKUP($L441,Data_Validation!$A:$D,4,0)</f>
        <v>Divers</v>
      </c>
      <c r="W441" s="156" t="str">
        <f>+VLOOKUP($L441,Data_Validation!$A:$E,5,0)</f>
        <v>$</v>
      </c>
      <c r="X441" s="156">
        <f>+VLOOKUP($L441,Data_Validation!$A:$F,6,0)</f>
        <v>0</v>
      </c>
    </row>
    <row r="442" spans="1:24" ht="15" hidden="1" customHeight="1">
      <c r="A442" s="1147" t="s">
        <v>1294</v>
      </c>
      <c r="B442" s="1147" t="s">
        <v>2475</v>
      </c>
      <c r="C442" s="1149">
        <v>1796.9</v>
      </c>
      <c r="D442" s="1149">
        <v>874.68</v>
      </c>
      <c r="E442" s="1149">
        <v>2671.58</v>
      </c>
      <c r="F442" s="1147" t="s">
        <v>401</v>
      </c>
      <c r="G442" s="1147" t="s">
        <v>2470</v>
      </c>
      <c r="H442" s="948"/>
      <c r="I442" s="947"/>
      <c r="J442" s="947"/>
      <c r="K442" s="947"/>
      <c r="L442" s="153" t="str">
        <f t="shared" si="30"/>
        <v>6756</v>
      </c>
      <c r="M442" s="154" t="str">
        <f t="shared" si="31"/>
        <v>FRAIS REPRESENTATION - PIECES</v>
      </c>
      <c r="N442" s="155">
        <f>+IF(OR($Q442=Parametres!$G$2,$Q442=Parametres!$G$3),I442,C442)</f>
        <v>1796.9</v>
      </c>
      <c r="O442" s="1122">
        <f>+IF(OR($Q442=Parametres!$G$2,$Q442=Parametres!$G$3),J442,D442)</f>
        <v>874.68</v>
      </c>
      <c r="P442" s="155">
        <f>+IF(OR($Q442=Parametres!$G$2,$Q442=Parametres!$G$3),K442,E442)</f>
        <v>2671.58</v>
      </c>
      <c r="Q442" s="154" t="str">
        <f t="shared" si="32"/>
        <v>7-Dépenses</v>
      </c>
      <c r="R442" s="153" t="str">
        <f t="shared" si="33"/>
        <v>6156</v>
      </c>
      <c r="S442" s="154">
        <f t="shared" si="34"/>
        <v>0</v>
      </c>
      <c r="T442" s="156" t="str">
        <f>+VLOOKUP($L442,Data_Validation!$A:$D,1,0)</f>
        <v>6756</v>
      </c>
      <c r="U442" s="156" t="str">
        <f>+VLOOKUP($L442,Data_Validation!$A:$D,3,0)</f>
        <v>Pièces</v>
      </c>
      <c r="V442" s="156" t="str">
        <f>+VLOOKUP($L442,Data_Validation!$A:$D,4,0)</f>
        <v>Frais de déplacement</v>
      </c>
      <c r="W442" s="156" t="str">
        <f>+VLOOKUP($L442,Data_Validation!$A:$E,5,0)</f>
        <v>$</v>
      </c>
      <c r="X442" s="156">
        <f>+VLOOKUP($L442,Data_Validation!$A:$F,6,0)</f>
        <v>0</v>
      </c>
    </row>
    <row r="443" spans="1:24" ht="15" hidden="1" customHeight="1">
      <c r="A443" s="1147" t="s">
        <v>1308</v>
      </c>
      <c r="B443" s="1147" t="s">
        <v>2775</v>
      </c>
      <c r="C443" s="1149">
        <v>35629.65</v>
      </c>
      <c r="D443" s="1149">
        <v>5339.09</v>
      </c>
      <c r="E443" s="1149">
        <v>40968.74</v>
      </c>
      <c r="F443" s="1147" t="s">
        <v>401</v>
      </c>
      <c r="G443" s="1147" t="s">
        <v>2662</v>
      </c>
      <c r="H443" s="1118"/>
      <c r="I443" s="1118"/>
      <c r="J443" s="1118"/>
      <c r="K443" s="1118"/>
      <c r="L443" s="153" t="str">
        <f t="shared" si="30"/>
        <v>6759</v>
      </c>
      <c r="M443" s="154" t="str">
        <f t="shared" si="31"/>
        <v>SERVICE EXTERIEUR</v>
      </c>
      <c r="N443" s="155">
        <f>+IF(OR($Q443=Parametres!$G$2,$Q443=Parametres!$G$3),I443,C443)</f>
        <v>35629.65</v>
      </c>
      <c r="O443" s="1123">
        <f>+IF(OR($Q443=Parametres!$G$2,$Q443=Parametres!$G$3),J443,D443)</f>
        <v>5339.09</v>
      </c>
      <c r="P443" s="155">
        <f>+IF(OR($Q443=Parametres!$G$2,$Q443=Parametres!$G$3),K443,E443)</f>
        <v>40968.74</v>
      </c>
      <c r="Q443" s="154" t="str">
        <f t="shared" si="32"/>
        <v>7-Dépenses</v>
      </c>
      <c r="R443" s="153" t="str">
        <f t="shared" si="33"/>
        <v>6159</v>
      </c>
      <c r="S443" s="154">
        <f t="shared" si="34"/>
        <v>0</v>
      </c>
      <c r="T443" s="156" t="str">
        <f>+VLOOKUP($L443,Data_Validation!$A:$D,1,0)</f>
        <v>6759</v>
      </c>
      <c r="U443" s="156" t="str">
        <f>+VLOOKUP($L443,Data_Validation!$A:$D,3,0)</f>
        <v>Pièces</v>
      </c>
      <c r="V443" s="156" t="str">
        <f>+VLOOKUP($L443,Data_Validation!$A:$D,4,0)</f>
        <v>Services extérieurs</v>
      </c>
      <c r="W443" s="156" t="str">
        <f>+VLOOKUP($L443,Data_Validation!$A:$E,5,0)</f>
        <v>$</v>
      </c>
      <c r="X443" s="156">
        <f>+VLOOKUP($L443,Data_Validation!$A:$F,6,0)</f>
        <v>0</v>
      </c>
    </row>
    <row r="444" spans="1:24" ht="15" hidden="1" customHeight="1">
      <c r="A444" s="1147" t="s">
        <v>1333</v>
      </c>
      <c r="B444" s="1147" t="s">
        <v>2718</v>
      </c>
      <c r="C444" s="1149">
        <v>6670.37</v>
      </c>
      <c r="D444" s="1149">
        <v>1078.6199999999999</v>
      </c>
      <c r="E444" s="1149">
        <v>7748.99</v>
      </c>
      <c r="F444" s="1147" t="s">
        <v>401</v>
      </c>
      <c r="G444" s="1147" t="s">
        <v>2653</v>
      </c>
      <c r="H444" s="1118"/>
      <c r="I444" s="1118"/>
      <c r="J444" s="1118"/>
      <c r="K444" s="1118"/>
      <c r="L444" s="153" t="str">
        <f t="shared" si="30"/>
        <v>6761</v>
      </c>
      <c r="M444" s="154" t="str">
        <f t="shared" si="31"/>
        <v>DEPRECIATION EQUIP. &amp; FIXTURES</v>
      </c>
      <c r="N444" s="155">
        <f>+IF(OR($Q444=Parametres!$G$2,$Q444=Parametres!$G$3),I444,C444)</f>
        <v>6670.37</v>
      </c>
      <c r="O444" s="1120">
        <f>+IF(OR($Q444=Parametres!$G$2,$Q444=Parametres!$G$3),J444,D444)</f>
        <v>1078.6199999999999</v>
      </c>
      <c r="P444" s="155">
        <f>+IF(OR($Q444=Parametres!$G$2,$Q444=Parametres!$G$3),K444,E444)</f>
        <v>7748.99</v>
      </c>
      <c r="Q444" s="154" t="str">
        <f t="shared" si="32"/>
        <v>7-Dépenses</v>
      </c>
      <c r="R444" s="153" t="str">
        <f t="shared" si="33"/>
        <v>6161</v>
      </c>
      <c r="S444" s="154">
        <f t="shared" si="34"/>
        <v>0</v>
      </c>
      <c r="T444" s="156" t="str">
        <f>+VLOOKUP($L444,Data_Validation!$A:$D,1,0)</f>
        <v>6761</v>
      </c>
      <c r="U444" s="156" t="str">
        <f>+VLOOKUP($L444,Data_Validation!$A:$D,3,0)</f>
        <v>Pièces</v>
      </c>
      <c r="V444" s="156" t="str">
        <f>+VLOOKUP($L444,Data_Validation!$A:$D,4,0)</f>
        <v>Amortissement</v>
      </c>
      <c r="W444" s="156" t="str">
        <f>+VLOOKUP($L444,Data_Validation!$A:$E,5,0)</f>
        <v>$</v>
      </c>
      <c r="X444" s="156">
        <f>+VLOOKUP($L444,Data_Validation!$A:$F,6,0)</f>
        <v>0</v>
      </c>
    </row>
    <row r="445" spans="1:24" ht="15" hidden="1" customHeight="1">
      <c r="A445" s="1147" t="s">
        <v>1316</v>
      </c>
      <c r="B445" s="1147" t="s">
        <v>2671</v>
      </c>
      <c r="C445" s="1149">
        <v>3393.18</v>
      </c>
      <c r="D445" s="1149">
        <v>435.61</v>
      </c>
      <c r="E445" s="1149">
        <v>3828.79</v>
      </c>
      <c r="F445" s="1147" t="s">
        <v>401</v>
      </c>
      <c r="G445" s="1147" t="s">
        <v>2604</v>
      </c>
      <c r="H445" s="150"/>
      <c r="I445" s="157"/>
      <c r="J445" s="157"/>
      <c r="K445" s="157"/>
      <c r="L445" s="153" t="str">
        <f t="shared" si="30"/>
        <v>6781</v>
      </c>
      <c r="M445" s="154" t="str">
        <f t="shared" si="31"/>
        <v>CHAUFFAGE,ELECTRICITE,EAU-PIECES</v>
      </c>
      <c r="N445" s="155">
        <f>+IF(OR($Q445=Parametres!$G$2,$Q445=Parametres!$G$3),I445,C445)</f>
        <v>3393.18</v>
      </c>
      <c r="O445" s="1122">
        <f>+IF(OR($Q445=Parametres!$G$2,$Q445=Parametres!$G$3),J445,D445)</f>
        <v>435.61</v>
      </c>
      <c r="P445" s="155">
        <f>+IF(OR($Q445=Parametres!$G$2,$Q445=Parametres!$G$3),K445,E445)</f>
        <v>3828.79</v>
      </c>
      <c r="Q445" s="154" t="str">
        <f t="shared" si="32"/>
        <v>7-Dépenses</v>
      </c>
      <c r="R445" s="153" t="str">
        <f t="shared" si="33"/>
        <v>6181</v>
      </c>
      <c r="S445" s="154">
        <f t="shared" si="34"/>
        <v>0</v>
      </c>
      <c r="T445" s="156" t="str">
        <f>+VLOOKUP($L445,Data_Validation!$A:$D,1,0)</f>
        <v>6781</v>
      </c>
      <c r="U445" s="156" t="str">
        <f>+VLOOKUP($L445,Data_Validation!$A:$D,3,0)</f>
        <v>Pièces</v>
      </c>
      <c r="V445" s="156" t="str">
        <f>+VLOOKUP($L445,Data_Validation!$A:$D,4,0)</f>
        <v>Chauffage, éclairage</v>
      </c>
      <c r="W445" s="156" t="str">
        <f>+VLOOKUP($L445,Data_Validation!$A:$E,5,0)</f>
        <v>$</v>
      </c>
      <c r="X445" s="156">
        <f>+VLOOKUP($L445,Data_Validation!$A:$F,6,0)</f>
        <v>0</v>
      </c>
    </row>
    <row r="446" spans="1:24" ht="15.75" hidden="1" customHeight="1">
      <c r="A446" s="1147" t="s">
        <v>1457</v>
      </c>
      <c r="B446" s="1147" t="s">
        <v>2760</v>
      </c>
      <c r="C446" s="1149">
        <v>39000</v>
      </c>
      <c r="D446" s="1149">
        <v>6500</v>
      </c>
      <c r="E446" s="1149">
        <v>45500</v>
      </c>
      <c r="F446" s="1147" t="s">
        <v>401</v>
      </c>
      <c r="G446" s="1147" t="s">
        <v>2709</v>
      </c>
      <c r="H446" s="1118"/>
      <c r="I446" s="1118"/>
      <c r="J446" s="1118"/>
      <c r="K446" s="1118"/>
      <c r="L446" s="153" t="str">
        <f t="shared" si="30"/>
        <v>6782</v>
      </c>
      <c r="M446" s="154" t="str">
        <f t="shared" si="31"/>
        <v>LOYER - PIECES</v>
      </c>
      <c r="N446" s="155">
        <f>+IF(OR($Q446=Parametres!$G$2,$Q446=Parametres!$G$3),I446,C446)</f>
        <v>39000</v>
      </c>
      <c r="O446" s="1122">
        <f>+IF(OR($Q446=Parametres!$G$2,$Q446=Parametres!$G$3),J446,D446)</f>
        <v>6500</v>
      </c>
      <c r="P446" s="155">
        <f>+IF(OR($Q446=Parametres!$G$2,$Q446=Parametres!$G$3),K446,E446)</f>
        <v>45500</v>
      </c>
      <c r="Q446" s="154" t="str">
        <f t="shared" si="32"/>
        <v>7-Dépenses</v>
      </c>
      <c r="R446" s="153" t="str">
        <f t="shared" si="33"/>
        <v>6182</v>
      </c>
      <c r="S446" s="154">
        <f t="shared" si="34"/>
        <v>0</v>
      </c>
      <c r="T446" s="156" t="str">
        <f>+VLOOKUP($L446,Data_Validation!$A:$D,1,0)</f>
        <v>6782</v>
      </c>
      <c r="U446" s="156" t="str">
        <f>+VLOOKUP($L446,Data_Validation!$A:$D,3,0)</f>
        <v>Pièces</v>
      </c>
      <c r="V446" s="156" t="str">
        <f>+VLOOKUP($L446,Data_Validation!$A:$D,4,0)</f>
        <v>Loyer</v>
      </c>
      <c r="W446" s="156" t="str">
        <f>+VLOOKUP($L446,Data_Validation!$A:$E,5,0)</f>
        <v>$</v>
      </c>
      <c r="X446" s="156">
        <f>+VLOOKUP($L446,Data_Validation!$A:$F,6,0)</f>
        <v>0</v>
      </c>
    </row>
    <row r="447" spans="1:24" ht="15.75" hidden="1" customHeight="1">
      <c r="A447" s="1147" t="s">
        <v>1352</v>
      </c>
      <c r="B447" s="1147" t="s">
        <v>2660</v>
      </c>
      <c r="C447" s="1149">
        <v>5562.12</v>
      </c>
      <c r="D447" s="1149">
        <v>927.02</v>
      </c>
      <c r="E447" s="1149">
        <v>6489.14</v>
      </c>
      <c r="F447" s="1147" t="s">
        <v>401</v>
      </c>
      <c r="G447" s="1147" t="s">
        <v>2594</v>
      </c>
      <c r="H447" s="1118"/>
      <c r="I447" s="1119"/>
      <c r="J447" s="1119"/>
      <c r="K447" s="1119"/>
      <c r="L447" s="153" t="str">
        <f t="shared" si="30"/>
        <v>6786</v>
      </c>
      <c r="M447" s="154" t="str">
        <f t="shared" si="31"/>
        <v>ASSURANCE BATISSE &amp; AMEL.-PIECES</v>
      </c>
      <c r="N447" s="155">
        <f>+IF(OR($Q447=Parametres!$G$2,$Q447=Parametres!$G$3),I447,C447)</f>
        <v>5562.12</v>
      </c>
      <c r="O447" s="1120">
        <f>+IF(OR($Q447=Parametres!$G$2,$Q447=Parametres!$G$3),J447,D447)</f>
        <v>927.02</v>
      </c>
      <c r="P447" s="155">
        <f>+IF(OR($Q447=Parametres!$G$2,$Q447=Parametres!$G$3),K447,E447)</f>
        <v>6489.14</v>
      </c>
      <c r="Q447" s="154" t="str">
        <f t="shared" si="32"/>
        <v>7-Dépenses</v>
      </c>
      <c r="R447" s="153" t="str">
        <f t="shared" si="33"/>
        <v>6186</v>
      </c>
      <c r="S447" s="154">
        <f t="shared" si="34"/>
        <v>0</v>
      </c>
      <c r="T447" s="156" t="str">
        <f>+VLOOKUP($L447,Data_Validation!$A:$D,1,0)</f>
        <v>6786</v>
      </c>
      <c r="U447" s="156" t="str">
        <f>+VLOOKUP($L447,Data_Validation!$A:$D,3,0)</f>
        <v>Pièces</v>
      </c>
      <c r="V447" s="156" t="str">
        <f>+VLOOKUP($L447,Data_Validation!$A:$D,4,0)</f>
        <v>Assurances</v>
      </c>
      <c r="W447" s="156" t="str">
        <f>+VLOOKUP($L447,Data_Validation!$A:$E,5,0)</f>
        <v>$</v>
      </c>
      <c r="X447" s="156">
        <f>+VLOOKUP($L447,Data_Validation!$A:$F,6,0)</f>
        <v>0</v>
      </c>
    </row>
    <row r="448" spans="1:24" ht="15" hidden="1" customHeight="1">
      <c r="A448" s="1147" t="s">
        <v>1344</v>
      </c>
      <c r="B448" s="1147" t="s">
        <v>2686</v>
      </c>
      <c r="C448" s="1149">
        <v>7215</v>
      </c>
      <c r="D448" s="1149">
        <v>1202.5</v>
      </c>
      <c r="E448" s="1149">
        <v>8417.5</v>
      </c>
      <c r="F448" s="1147" t="s">
        <v>401</v>
      </c>
      <c r="G448" s="1147" t="s">
        <v>2614</v>
      </c>
      <c r="H448" s="150"/>
      <c r="I448" s="157"/>
      <c r="J448" s="157"/>
      <c r="K448" s="157"/>
      <c r="L448" s="153" t="str">
        <f t="shared" si="30"/>
        <v>6787</v>
      </c>
      <c r="M448" s="154" t="str">
        <f t="shared" si="31"/>
        <v>TAXES FONCIERES - PIECES</v>
      </c>
      <c r="N448" s="155">
        <f>+IF(OR($Q448=Parametres!$G$2,$Q448=Parametres!$G$3),I448,C448)</f>
        <v>7215</v>
      </c>
      <c r="O448" s="1122">
        <f>+IF(OR($Q448=Parametres!$G$2,$Q448=Parametres!$G$3),J448,D448)</f>
        <v>1202.5</v>
      </c>
      <c r="P448" s="155">
        <f>+IF(OR($Q448=Parametres!$G$2,$Q448=Parametres!$G$3),K448,E448)</f>
        <v>8417.5</v>
      </c>
      <c r="Q448" s="154" t="str">
        <f t="shared" si="32"/>
        <v>7-Dépenses</v>
      </c>
      <c r="R448" s="153" t="str">
        <f t="shared" si="33"/>
        <v>6187</v>
      </c>
      <c r="S448" s="154">
        <f t="shared" si="34"/>
        <v>0</v>
      </c>
      <c r="T448" s="156" t="str">
        <f>+VLOOKUP($L448,Data_Validation!$A:$D,1,0)</f>
        <v>6787</v>
      </c>
      <c r="U448" s="156" t="str">
        <f>+VLOOKUP($L448,Data_Validation!$A:$D,3,0)</f>
        <v>Pièces</v>
      </c>
      <c r="V448" s="156" t="str">
        <f>+VLOOKUP($L448,Data_Validation!$A:$D,4,0)</f>
        <v>Taxes foncières</v>
      </c>
      <c r="W448" s="156" t="str">
        <f>+VLOOKUP($L448,Data_Validation!$A:$E,5,0)</f>
        <v>$</v>
      </c>
      <c r="X448" s="156">
        <f>+VLOOKUP($L448,Data_Validation!$A:$F,6,0)</f>
        <v>0</v>
      </c>
    </row>
    <row r="449" spans="1:24" ht="15" hidden="1" customHeight="1">
      <c r="A449" s="1147" t="s">
        <v>1278</v>
      </c>
      <c r="B449" s="1147" t="s">
        <v>2665</v>
      </c>
      <c r="C449" s="1149">
        <v>4800</v>
      </c>
      <c r="D449" s="1149">
        <v>800</v>
      </c>
      <c r="E449" s="1149">
        <v>5600</v>
      </c>
      <c r="F449" s="1147" t="s">
        <v>401</v>
      </c>
      <c r="G449" s="1147" t="s">
        <v>2597</v>
      </c>
      <c r="H449" s="1118"/>
      <c r="I449" s="1119"/>
      <c r="J449" s="1119"/>
      <c r="K449" s="1119"/>
      <c r="L449" s="153" t="str">
        <f t="shared" si="30"/>
        <v>6793</v>
      </c>
      <c r="M449" s="154" t="str">
        <f t="shared" si="31"/>
        <v>AUTRES TAXES - PIECES</v>
      </c>
      <c r="N449" s="155">
        <f>+IF(OR($Q449=Parametres!$G$2,$Q449=Parametres!$G$3),I449,C449)</f>
        <v>4800</v>
      </c>
      <c r="O449" s="1120">
        <f>+IF(OR($Q449=Parametres!$G$2,$Q449=Parametres!$G$3),J449,D449)</f>
        <v>800</v>
      </c>
      <c r="P449" s="155">
        <f>+IF(OR($Q449=Parametres!$G$2,$Q449=Parametres!$G$3),K449,E449)</f>
        <v>5600</v>
      </c>
      <c r="Q449" s="154" t="str">
        <f t="shared" si="32"/>
        <v>7-Dépenses</v>
      </c>
      <c r="R449" s="153" t="str">
        <f t="shared" si="33"/>
        <v>6193</v>
      </c>
      <c r="S449" s="154">
        <f t="shared" si="34"/>
        <v>0</v>
      </c>
      <c r="T449" s="156" t="str">
        <f>+VLOOKUP($L449,Data_Validation!$A:$D,1,0)</f>
        <v>6793</v>
      </c>
      <c r="U449" s="156" t="str">
        <f>+VLOOKUP($L449,Data_Validation!$A:$D,3,0)</f>
        <v>Pièces</v>
      </c>
      <c r="V449" s="156" t="str">
        <f>+VLOOKUP($L449,Data_Validation!$A:$D,4,0)</f>
        <v>Taxes d`affaires</v>
      </c>
      <c r="W449" s="156" t="str">
        <f>+VLOOKUP($L449,Data_Validation!$A:$E,5,0)</f>
        <v>$</v>
      </c>
      <c r="X449" s="156">
        <f>+VLOOKUP($L449,Data_Validation!$A:$F,6,0)</f>
        <v>0</v>
      </c>
    </row>
    <row r="450" spans="1:24" ht="15" hidden="1" customHeight="1">
      <c r="A450" s="1147" t="s">
        <v>1371</v>
      </c>
      <c r="B450" s="1147" t="s">
        <v>2703</v>
      </c>
      <c r="C450" s="1149">
        <v>9773.1200000000008</v>
      </c>
      <c r="D450" s="1149">
        <v>1554.26</v>
      </c>
      <c r="E450" s="1149">
        <v>11327.38</v>
      </c>
      <c r="F450" s="1147" t="s">
        <v>401</v>
      </c>
      <c r="G450" s="1147" t="s">
        <v>2635</v>
      </c>
      <c r="H450" s="1118"/>
      <c r="I450" s="1126"/>
      <c r="J450" s="1118"/>
      <c r="K450" s="1126"/>
      <c r="L450" s="153" t="str">
        <f t="shared" ref="L450:L513" si="35">+B450</f>
        <v>6794</v>
      </c>
      <c r="M450" s="154" t="str">
        <f t="shared" ref="M450:M513" si="36">+A450</f>
        <v>FRAIS PROFESSIONNEL-PIECES</v>
      </c>
      <c r="N450" s="155">
        <f>+IF(OR($Q450=Parametres!$G$2,$Q450=Parametres!$G$3),I450,C450)</f>
        <v>9773.1200000000008</v>
      </c>
      <c r="O450" s="1122">
        <f>+IF(OR($Q450=Parametres!$G$2,$Q450=Parametres!$G$3),J450,D450)</f>
        <v>1554.26</v>
      </c>
      <c r="P450" s="155">
        <f>+IF(OR($Q450=Parametres!$G$2,$Q450=Parametres!$G$3),K450,E450)</f>
        <v>11327.38</v>
      </c>
      <c r="Q450" s="154" t="str">
        <f t="shared" ref="Q450:Q513" si="37">+F450</f>
        <v>7-Dépenses</v>
      </c>
      <c r="R450" s="153" t="str">
        <f t="shared" ref="R450:R513" si="38">+G450</f>
        <v>6194</v>
      </c>
      <c r="S450" s="154">
        <f t="shared" ref="S450:S513" si="39">+H450</f>
        <v>0</v>
      </c>
      <c r="T450" s="156" t="str">
        <f>+VLOOKUP($L450,Data_Validation!$A:$D,1,0)</f>
        <v>6794</v>
      </c>
      <c r="U450" s="156" t="str">
        <f>+VLOOKUP($L450,Data_Validation!$A:$D,3,0)</f>
        <v>Pièces</v>
      </c>
      <c r="V450" s="156" t="str">
        <f>+VLOOKUP($L450,Data_Validation!$A:$D,4,0)</f>
        <v>Honoraires</v>
      </c>
      <c r="W450" s="156" t="str">
        <f>+VLOOKUP($L450,Data_Validation!$A:$E,5,0)</f>
        <v>$</v>
      </c>
      <c r="X450" s="156">
        <f>+VLOOKUP($L450,Data_Validation!$A:$F,6,0)</f>
        <v>0</v>
      </c>
    </row>
    <row r="451" spans="1:24" ht="15.75" hidden="1" customHeight="1">
      <c r="A451" s="1147" t="s">
        <v>2053</v>
      </c>
      <c r="B451" s="1147" t="s">
        <v>2054</v>
      </c>
      <c r="C451" s="1149">
        <v>-442921</v>
      </c>
      <c r="D451" s="1149">
        <v>-37897</v>
      </c>
      <c r="E451" s="1149">
        <v>-480818</v>
      </c>
      <c r="F451" s="1147" t="s">
        <v>304</v>
      </c>
      <c r="G451" s="1147" t="s">
        <v>2055</v>
      </c>
      <c r="H451" s="948"/>
      <c r="I451" s="947"/>
      <c r="J451" s="947"/>
      <c r="K451" s="947"/>
      <c r="L451" s="153" t="str">
        <f t="shared" si="35"/>
        <v>9149</v>
      </c>
      <c r="M451" s="154" t="str">
        <f t="shared" si="36"/>
        <v>REVENU RESERVE VOLKS</v>
      </c>
      <c r="N451" s="155">
        <f>+IF(OR($Q451=Parametres!$G$2,$Q451=Parametres!$G$3),I451,C451)</f>
        <v>-442921</v>
      </c>
      <c r="O451" s="1122">
        <f>+IF(OR($Q451=Parametres!$G$2,$Q451=Parametres!$G$3),J451,D451)</f>
        <v>-37897</v>
      </c>
      <c r="P451" s="155">
        <f>+IF(OR($Q451=Parametres!$G$2,$Q451=Parametres!$G$3),K451,E451)</f>
        <v>-480818</v>
      </c>
      <c r="Q451" s="154" t="str">
        <f t="shared" si="37"/>
        <v>8-Autres revenus</v>
      </c>
      <c r="R451" s="153" t="str">
        <f t="shared" si="38"/>
        <v>9101</v>
      </c>
      <c r="S451" s="154">
        <f t="shared" si="39"/>
        <v>0</v>
      </c>
      <c r="T451" s="156" t="str">
        <f>+VLOOKUP($L451,Data_Validation!$A:$D,1,0)</f>
        <v>9149</v>
      </c>
      <c r="U451" s="156" t="str">
        <f>+VLOOKUP($L451,Data_Validation!$A:$D,3,0)</f>
        <v>Véhicules neufs</v>
      </c>
      <c r="V451" s="156" t="str">
        <f>+VLOOKUP($L451,Data_Validation!$A:$D,4,0)</f>
        <v>Holdbacks</v>
      </c>
      <c r="W451" s="156" t="str">
        <f>+VLOOKUP($L451,Data_Validation!$A:$E,5,0)</f>
        <v>$</v>
      </c>
      <c r="X451" s="156">
        <f>+VLOOKUP($L451,Data_Validation!$A:$F,6,0)</f>
        <v>0</v>
      </c>
    </row>
    <row r="452" spans="1:24" ht="15" hidden="1" customHeight="1">
      <c r="A452" s="1147" t="s">
        <v>2138</v>
      </c>
      <c r="B452" s="1147" t="s">
        <v>2139</v>
      </c>
      <c r="C452" s="1149">
        <v>-36447.26</v>
      </c>
      <c r="D452" s="1149">
        <v>-8111.84</v>
      </c>
      <c r="E452" s="1149">
        <v>-44559.1</v>
      </c>
      <c r="F452" s="1147" t="s">
        <v>304</v>
      </c>
      <c r="G452" s="1147" t="s">
        <v>2139</v>
      </c>
      <c r="H452" s="1118"/>
      <c r="I452" s="1118"/>
      <c r="J452" s="1118"/>
      <c r="K452" s="1118"/>
      <c r="L452" s="153" t="str">
        <f t="shared" si="35"/>
        <v>9152</v>
      </c>
      <c r="M452" s="154" t="str">
        <f t="shared" si="36"/>
        <v>ESCOMPTES SUR ACHAT PIECES</v>
      </c>
      <c r="N452" s="155">
        <f>+IF(OR($Q452=Parametres!$G$2,$Q452=Parametres!$G$3),I452,C452)</f>
        <v>-36447.26</v>
      </c>
      <c r="O452" s="1122">
        <f>+IF(OR($Q452=Parametres!$G$2,$Q452=Parametres!$G$3),J452,D452)</f>
        <v>-8111.84</v>
      </c>
      <c r="P452" s="155">
        <f>+IF(OR($Q452=Parametres!$G$2,$Q452=Parametres!$G$3),K452,E452)</f>
        <v>-44559.1</v>
      </c>
      <c r="Q452" s="154" t="str">
        <f t="shared" si="37"/>
        <v>8-Autres revenus</v>
      </c>
      <c r="R452" s="153" t="str">
        <f t="shared" si="38"/>
        <v>9152</v>
      </c>
      <c r="S452" s="154">
        <f t="shared" si="39"/>
        <v>0</v>
      </c>
      <c r="T452" s="156" t="str">
        <f>+VLOOKUP($L452,Data_Validation!$A:$D,1,0)</f>
        <v>9152</v>
      </c>
      <c r="U452" s="156" t="str">
        <f>+VLOOKUP($L452,Data_Validation!$A:$D,3,0)</f>
        <v>Pièces</v>
      </c>
      <c r="V452" s="156" t="str">
        <f>+VLOOKUP($L452,Data_Validation!$A:$D,4,0)</f>
        <v>Escomptes</v>
      </c>
      <c r="W452" s="156" t="str">
        <f>+VLOOKUP($L452,Data_Validation!$A:$E,5,0)</f>
        <v>$</v>
      </c>
      <c r="X452" s="156">
        <f>+VLOOKUP($L452,Data_Validation!$A:$F,6,0)</f>
        <v>0</v>
      </c>
    </row>
    <row r="453" spans="1:24" ht="15" customHeight="1">
      <c r="A453" s="1147" t="s">
        <v>2077</v>
      </c>
      <c r="B453" s="1147" t="s">
        <v>2078</v>
      </c>
      <c r="C453" s="1149">
        <v>-93776.52</v>
      </c>
      <c r="D453" s="1149">
        <v>-20000</v>
      </c>
      <c r="E453" s="1149">
        <v>-113776.52</v>
      </c>
      <c r="F453" s="1147" t="s">
        <v>304</v>
      </c>
      <c r="G453" s="1147" t="s">
        <v>2079</v>
      </c>
      <c r="H453" s="1118"/>
      <c r="I453" s="1118"/>
      <c r="J453" s="1118"/>
      <c r="K453" s="1118"/>
      <c r="L453" s="153" t="str">
        <f t="shared" si="35"/>
        <v>9157</v>
      </c>
      <c r="M453" s="154" t="str">
        <f t="shared" si="36"/>
        <v>PRIMES DE RENDEMENT (ToT)- BONUS EXPERIENCE +</v>
      </c>
      <c r="N453" s="155">
        <f>+IF(OR($Q453=Parametres!$G$2,$Q453=Parametres!$G$3),I453,C453)</f>
        <v>-93776.52</v>
      </c>
      <c r="O453" s="1120">
        <f>+IF(OR($Q453=Parametres!$G$2,$Q453=Parametres!$G$3),J453,D453)</f>
        <v>-20000</v>
      </c>
      <c r="P453" s="155">
        <f>+IF(OR($Q453=Parametres!$G$2,$Q453=Parametres!$G$3),K453,E453)</f>
        <v>-113776.52</v>
      </c>
      <c r="Q453" s="154" t="str">
        <f t="shared" si="37"/>
        <v>8-Autres revenus</v>
      </c>
      <c r="R453" s="153" t="str">
        <f t="shared" si="38"/>
        <v>915</v>
      </c>
      <c r="S453" s="154">
        <f t="shared" si="39"/>
        <v>0</v>
      </c>
      <c r="T453" s="156" t="str">
        <f>+VLOOKUP($L453,Data_Validation!$A:$D,1,0)</f>
        <v>9157</v>
      </c>
      <c r="U453" s="156" t="str">
        <f>+VLOOKUP($L453,Data_Validation!$A:$D,3,0)</f>
        <v>Véhicules neufs</v>
      </c>
      <c r="V453" s="156" t="str">
        <f>+VLOOKUP($L453,Data_Validation!$A:$D,4,0)</f>
        <v>Programme neuf 1</v>
      </c>
      <c r="W453" s="156" t="str">
        <f>+VLOOKUP($L453,Data_Validation!$A:$E,5,0)</f>
        <v>$</v>
      </c>
      <c r="X453" s="156">
        <f>+VLOOKUP($L453,Data_Validation!$A:$F,6,0)</f>
        <v>0</v>
      </c>
    </row>
    <row r="454" spans="1:24" ht="15" hidden="1" customHeight="1">
      <c r="A454" s="1147" t="s">
        <v>2170</v>
      </c>
      <c r="B454" s="1147" t="s">
        <v>2076</v>
      </c>
      <c r="C454" s="1149">
        <v>-6686.2</v>
      </c>
      <c r="D454" s="1149">
        <v>-100</v>
      </c>
      <c r="E454" s="1149">
        <v>-6786.2</v>
      </c>
      <c r="F454" s="1147" t="s">
        <v>304</v>
      </c>
      <c r="G454" s="1147" t="s">
        <v>2076</v>
      </c>
      <c r="H454" s="1118"/>
      <c r="I454" s="1118"/>
      <c r="J454" s="1118"/>
      <c r="K454" s="1118"/>
      <c r="L454" s="153" t="str">
        <f t="shared" si="35"/>
        <v>9161</v>
      </c>
      <c r="M454" s="154" t="str">
        <f t="shared" si="36"/>
        <v>REVENU FIN ET ASS NEUF</v>
      </c>
      <c r="N454" s="155">
        <f>+IF(OR($Q454=Parametres!$G$2,$Q454=Parametres!$G$3),I454,C454)</f>
        <v>-6686.2</v>
      </c>
      <c r="O454" s="1123">
        <f>+IF(OR($Q454=Parametres!$G$2,$Q454=Parametres!$G$3),J454,D454)</f>
        <v>-100</v>
      </c>
      <c r="P454" s="155">
        <f>+IF(OR($Q454=Parametres!$G$2,$Q454=Parametres!$G$3),K454,E454)</f>
        <v>-6786.2</v>
      </c>
      <c r="Q454" s="154" t="str">
        <f t="shared" si="37"/>
        <v>8-Autres revenus</v>
      </c>
      <c r="R454" s="153" t="str">
        <f t="shared" si="38"/>
        <v>9161</v>
      </c>
      <c r="S454" s="154">
        <f t="shared" si="39"/>
        <v>0</v>
      </c>
      <c r="T454" s="156" t="str">
        <f>+VLOOKUP($L454,Data_Validation!$A:$D,1,0)</f>
        <v>9161</v>
      </c>
      <c r="U454" s="156" t="str">
        <f>+VLOOKUP($L454,Data_Validation!$A:$D,3,0)</f>
        <v>Véhicules neufs</v>
      </c>
      <c r="V454" s="156" t="str">
        <f>+VLOOKUP($L454,Data_Validation!$A:$D,4,0)</f>
        <v>Rev. Finances</v>
      </c>
      <c r="W454" s="156" t="str">
        <f>+VLOOKUP($L454,Data_Validation!$A:$E,5,0)</f>
        <v>$</v>
      </c>
      <c r="X454" s="156" t="str">
        <f>+VLOOKUP($L454,Data_Validation!$A:$F,6,0)</f>
        <v>Oui</v>
      </c>
    </row>
    <row r="455" spans="1:24" ht="15.75" hidden="1" customHeight="1">
      <c r="A455" s="1147" t="s">
        <v>2084</v>
      </c>
      <c r="B455" s="1147" t="s">
        <v>2085</v>
      </c>
      <c r="C455" s="1149">
        <v>-134633.35999999999</v>
      </c>
      <c r="D455" s="1149">
        <v>-41177.96</v>
      </c>
      <c r="E455" s="1149">
        <v>-175811.32</v>
      </c>
      <c r="F455" s="1147" t="s">
        <v>304</v>
      </c>
      <c r="G455" s="1147" t="s">
        <v>2085</v>
      </c>
      <c r="H455" s="948"/>
      <c r="I455" s="947"/>
      <c r="J455" s="947"/>
      <c r="K455" s="947"/>
      <c r="L455" s="153" t="str">
        <f t="shared" si="35"/>
        <v>9163</v>
      </c>
      <c r="M455" s="154" t="str">
        <f t="shared" si="36"/>
        <v>RESERVE FIN ET ASS VEH OCCASION</v>
      </c>
      <c r="N455" s="155">
        <f>+IF(OR($Q455=Parametres!$G$2,$Q455=Parametres!$G$3),I455,C455)</f>
        <v>-134633.35999999999</v>
      </c>
      <c r="O455" s="1122">
        <f>+IF(OR($Q455=Parametres!$G$2,$Q455=Parametres!$G$3),J455,D455)</f>
        <v>-41177.96</v>
      </c>
      <c r="P455" s="155">
        <f>+IF(OR($Q455=Parametres!$G$2,$Q455=Parametres!$G$3),K455,E455)</f>
        <v>-175811.32</v>
      </c>
      <c r="Q455" s="154" t="str">
        <f t="shared" si="37"/>
        <v>8-Autres revenus</v>
      </c>
      <c r="R455" s="153" t="str">
        <f t="shared" si="38"/>
        <v>9163</v>
      </c>
      <c r="S455" s="154">
        <f t="shared" si="39"/>
        <v>0</v>
      </c>
      <c r="T455" s="156" t="str">
        <f>+VLOOKUP($L455,Data_Validation!$A:$D,1,0)</f>
        <v>9163</v>
      </c>
      <c r="U455" s="156" t="str">
        <f>+VLOOKUP($L455,Data_Validation!$A:$D,3,0)</f>
        <v>Véhicules usagés</v>
      </c>
      <c r="V455" s="156" t="str">
        <f>+VLOOKUP($L455,Data_Validation!$A:$D,4,0)</f>
        <v>Rev. Finances</v>
      </c>
      <c r="W455" s="156" t="str">
        <f>+VLOOKUP($L455,Data_Validation!$A:$E,5,0)</f>
        <v>$</v>
      </c>
      <c r="X455" s="156" t="str">
        <f>+VLOOKUP($L455,Data_Validation!$A:$F,6,0)</f>
        <v>Oui</v>
      </c>
    </row>
    <row r="456" spans="1:24" ht="15" hidden="1" customHeight="1">
      <c r="A456" s="1147" t="s">
        <v>2171</v>
      </c>
      <c r="B456" s="1147" t="s">
        <v>2172</v>
      </c>
      <c r="C456" s="1149">
        <v>-8424.35</v>
      </c>
      <c r="D456" s="1149">
        <v>-1781.06</v>
      </c>
      <c r="E456" s="1149">
        <v>-10205.41</v>
      </c>
      <c r="F456" s="1147" t="s">
        <v>304</v>
      </c>
      <c r="G456" s="1147" t="s">
        <v>2076</v>
      </c>
      <c r="H456" s="150"/>
      <c r="I456" s="151"/>
      <c r="J456" s="151"/>
      <c r="K456" s="151"/>
      <c r="L456" s="153" t="str">
        <f t="shared" si="35"/>
        <v>9165</v>
      </c>
      <c r="M456" s="154" t="str">
        <f t="shared" si="36"/>
        <v>REV. ASSURANCES NEUF</v>
      </c>
      <c r="N456" s="155">
        <f>+IF(OR($Q456=Parametres!$G$2,$Q456=Parametres!$G$3),I456,C456)</f>
        <v>-8424.35</v>
      </c>
      <c r="O456" s="1122">
        <f>+IF(OR($Q456=Parametres!$G$2,$Q456=Parametres!$G$3),J456,D456)</f>
        <v>-1781.06</v>
      </c>
      <c r="P456" s="155">
        <f>+IF(OR($Q456=Parametres!$G$2,$Q456=Parametres!$G$3),K456,E456)</f>
        <v>-10205.41</v>
      </c>
      <c r="Q456" s="154" t="str">
        <f t="shared" si="37"/>
        <v>8-Autres revenus</v>
      </c>
      <c r="R456" s="153" t="str">
        <f t="shared" si="38"/>
        <v>9161</v>
      </c>
      <c r="S456" s="154">
        <f t="shared" si="39"/>
        <v>0</v>
      </c>
      <c r="T456" s="156" t="str">
        <f>+VLOOKUP($L456,Data_Validation!$A:$D,1,0)</f>
        <v>9165</v>
      </c>
      <c r="U456" s="156" t="str">
        <f>+VLOOKUP($L456,Data_Validation!$A:$D,3,0)</f>
        <v>Véhicules neufs</v>
      </c>
      <c r="V456" s="156" t="str">
        <f>+VLOOKUP($L456,Data_Validation!$A:$D,4,0)</f>
        <v>Rev. Autres</v>
      </c>
      <c r="W456" s="156" t="str">
        <f>+VLOOKUP($L456,Data_Validation!$A:$E,5,0)</f>
        <v>$</v>
      </c>
      <c r="X456" s="156" t="str">
        <f>+VLOOKUP($L456,Data_Validation!$A:$F,6,0)</f>
        <v>Oui</v>
      </c>
    </row>
    <row r="457" spans="1:24" ht="15" hidden="1" customHeight="1">
      <c r="A457" s="1147" t="s">
        <v>2179</v>
      </c>
      <c r="B457" s="1147" t="s">
        <v>2180</v>
      </c>
      <c r="C457" s="1149">
        <v>-9866.2000000000007</v>
      </c>
      <c r="D457" s="1149">
        <v>-3721.98</v>
      </c>
      <c r="E457" s="1149">
        <v>-13588.18</v>
      </c>
      <c r="F457" s="1147" t="s">
        <v>304</v>
      </c>
      <c r="G457" s="1147" t="s">
        <v>2085</v>
      </c>
      <c r="H457" s="948"/>
      <c r="I457" s="947"/>
      <c r="J457" s="947"/>
      <c r="K457" s="947"/>
      <c r="L457" s="153" t="str">
        <f t="shared" si="35"/>
        <v>9167</v>
      </c>
      <c r="M457" s="154" t="str">
        <f t="shared" si="36"/>
        <v>REV ASSURANCE USAGE</v>
      </c>
      <c r="N457" s="155">
        <f>+IF(OR($Q457=Parametres!$G$2,$Q457=Parametres!$G$3),I457,C457)</f>
        <v>-9866.2000000000007</v>
      </c>
      <c r="O457" s="1122">
        <f>+IF(OR($Q457=Parametres!$G$2,$Q457=Parametres!$G$3),J457,D457)</f>
        <v>-3721.98</v>
      </c>
      <c r="P457" s="155">
        <f>+IF(OR($Q457=Parametres!$G$2,$Q457=Parametres!$G$3),K457,E457)</f>
        <v>-13588.18</v>
      </c>
      <c r="Q457" s="154" t="str">
        <f t="shared" si="37"/>
        <v>8-Autres revenus</v>
      </c>
      <c r="R457" s="153" t="str">
        <f t="shared" si="38"/>
        <v>9163</v>
      </c>
      <c r="S457" s="154">
        <f t="shared" si="39"/>
        <v>0</v>
      </c>
      <c r="T457" s="156" t="str">
        <f>+VLOOKUP($L457,Data_Validation!$A:$D,1,0)</f>
        <v>9167</v>
      </c>
      <c r="U457" s="156" t="str">
        <f>+VLOOKUP($L457,Data_Validation!$A:$D,3,0)</f>
        <v>Véhicules usagés</v>
      </c>
      <c r="V457" s="156" t="str">
        <f>+VLOOKUP($L457,Data_Validation!$A:$D,4,0)</f>
        <v>Rev. Autres</v>
      </c>
      <c r="W457" s="156" t="str">
        <f>+VLOOKUP($L457,Data_Validation!$A:$E,5,0)</f>
        <v>$</v>
      </c>
      <c r="X457" s="156" t="str">
        <f>+VLOOKUP($L457,Data_Validation!$A:$F,6,0)</f>
        <v>Oui</v>
      </c>
    </row>
    <row r="458" spans="1:24" ht="15" hidden="1" customHeight="1">
      <c r="A458" s="1147" t="s">
        <v>2092</v>
      </c>
      <c r="B458" s="1147" t="s">
        <v>2093</v>
      </c>
      <c r="C458" s="1149">
        <v>-45899</v>
      </c>
      <c r="D458" s="1149">
        <v>-13750</v>
      </c>
      <c r="E458" s="1149">
        <v>-59649</v>
      </c>
      <c r="F458" s="1147" t="s">
        <v>304</v>
      </c>
      <c r="G458" s="1147" t="s">
        <v>2076</v>
      </c>
      <c r="H458" s="948"/>
      <c r="I458" s="947"/>
      <c r="J458" s="947"/>
      <c r="K458" s="947"/>
      <c r="L458" s="153" t="str">
        <f t="shared" si="35"/>
        <v>9169</v>
      </c>
      <c r="M458" s="154" t="str">
        <f t="shared" si="36"/>
        <v>REV GARANTIE PROLONGEE NEUF</v>
      </c>
      <c r="N458" s="155">
        <f>+IF(OR($Q458=Parametres!$G$2,$Q458=Parametres!$G$3),I458,C458)</f>
        <v>-45899</v>
      </c>
      <c r="O458" s="1122">
        <f>+IF(OR($Q458=Parametres!$G$2,$Q458=Parametres!$G$3),J458,D458)</f>
        <v>-13750</v>
      </c>
      <c r="P458" s="155">
        <f>+IF(OR($Q458=Parametres!$G$2,$Q458=Parametres!$G$3),K458,E458)</f>
        <v>-59649</v>
      </c>
      <c r="Q458" s="154" t="str">
        <f t="shared" si="37"/>
        <v>8-Autres revenus</v>
      </c>
      <c r="R458" s="153" t="str">
        <f t="shared" si="38"/>
        <v>9161</v>
      </c>
      <c r="S458" s="154">
        <f t="shared" si="39"/>
        <v>0</v>
      </c>
      <c r="T458" s="156" t="str">
        <f>+VLOOKUP($L458,Data_Validation!$A:$D,1,0)</f>
        <v>9169</v>
      </c>
      <c r="U458" s="156" t="str">
        <f>+VLOOKUP($L458,Data_Validation!$A:$D,3,0)</f>
        <v>Véhicules neufs</v>
      </c>
      <c r="V458" s="156" t="str">
        <f>+VLOOKUP($L458,Data_Validation!$A:$D,4,0)</f>
        <v>Rev. Protections</v>
      </c>
      <c r="W458" s="156" t="str">
        <f>+VLOOKUP($L458,Data_Validation!$A:$E,5,0)</f>
        <v>$</v>
      </c>
      <c r="X458" s="156" t="str">
        <f>+VLOOKUP($L458,Data_Validation!$A:$F,6,0)</f>
        <v>Oui</v>
      </c>
    </row>
    <row r="459" spans="1:24" ht="15" hidden="1" customHeight="1">
      <c r="A459" s="1147" t="s">
        <v>2074</v>
      </c>
      <c r="B459" s="1147" t="s">
        <v>2075</v>
      </c>
      <c r="C459" s="1149">
        <v>-228984.57</v>
      </c>
      <c r="D459" s="1149">
        <v>-41371.53</v>
      </c>
      <c r="E459" s="1149">
        <v>-270356.09999999998</v>
      </c>
      <c r="F459" s="1147" t="s">
        <v>304</v>
      </c>
      <c r="G459" s="1147" t="s">
        <v>2076</v>
      </c>
      <c r="H459" s="948"/>
      <c r="I459" s="948"/>
      <c r="J459" s="948"/>
      <c r="K459" s="948"/>
      <c r="L459" s="153" t="str">
        <f t="shared" si="35"/>
        <v>9170</v>
      </c>
      <c r="M459" s="154" t="str">
        <f t="shared" si="36"/>
        <v>PROFIT PROTECTIONS - NEUFS</v>
      </c>
      <c r="N459" s="155">
        <f>+IF(OR($Q459=Parametres!$G$2,$Q459=Parametres!$G$3),I459,C459)</f>
        <v>-228984.57</v>
      </c>
      <c r="O459" s="1122">
        <f>+IF(OR($Q459=Parametres!$G$2,$Q459=Parametres!$G$3),J459,D459)</f>
        <v>-41371.53</v>
      </c>
      <c r="P459" s="155">
        <f>+IF(OR($Q459=Parametres!$G$2,$Q459=Parametres!$G$3),K459,E459)</f>
        <v>-270356.09999999998</v>
      </c>
      <c r="Q459" s="154" t="str">
        <f t="shared" si="37"/>
        <v>8-Autres revenus</v>
      </c>
      <c r="R459" s="153" t="str">
        <f t="shared" si="38"/>
        <v>9161</v>
      </c>
      <c r="S459" s="154">
        <f t="shared" si="39"/>
        <v>0</v>
      </c>
      <c r="T459" s="156" t="str">
        <f>+VLOOKUP($L459,Data_Validation!$A:$D,1,0)</f>
        <v>9170</v>
      </c>
      <c r="U459" s="156" t="str">
        <f>+VLOOKUP($L459,Data_Validation!$A:$D,3,0)</f>
        <v>Véhicules neufs</v>
      </c>
      <c r="V459" s="156" t="str">
        <f>+VLOOKUP($L459,Data_Validation!$A:$D,4,0)</f>
        <v>Rev. Protections</v>
      </c>
      <c r="W459" s="156" t="str">
        <f>+VLOOKUP($L459,Data_Validation!$A:$E,5,0)</f>
        <v>$</v>
      </c>
      <c r="X459" s="156" t="str">
        <f>+VLOOKUP($L459,Data_Validation!$A:$F,6,0)</f>
        <v>Oui</v>
      </c>
    </row>
    <row r="460" spans="1:24" ht="15" hidden="1" customHeight="1">
      <c r="A460" s="1147" t="s">
        <v>2088</v>
      </c>
      <c r="B460" s="1147" t="s">
        <v>2089</v>
      </c>
      <c r="C460" s="1149">
        <v>-150885.92000000001</v>
      </c>
      <c r="D460" s="1149">
        <v>-41253</v>
      </c>
      <c r="E460" s="1149">
        <v>-192138.92</v>
      </c>
      <c r="F460" s="1147" t="s">
        <v>304</v>
      </c>
      <c r="G460" s="1147" t="s">
        <v>2085</v>
      </c>
      <c r="H460" s="948"/>
      <c r="I460" s="948"/>
      <c r="J460" s="948"/>
      <c r="K460" s="948"/>
      <c r="L460" s="153" t="str">
        <f t="shared" si="35"/>
        <v>9171</v>
      </c>
      <c r="M460" s="154" t="str">
        <f t="shared" si="36"/>
        <v>REV GARANTIE PROLONGEE USAGE</v>
      </c>
      <c r="N460" s="155">
        <f>+IF(OR($Q460=Parametres!$G$2,$Q460=Parametres!$G$3),I460,C460)</f>
        <v>-150885.92000000001</v>
      </c>
      <c r="O460" s="1122">
        <f>+IF(OR($Q460=Parametres!$G$2,$Q460=Parametres!$G$3),J460,D460)</f>
        <v>-41253</v>
      </c>
      <c r="P460" s="155">
        <f>+IF(OR($Q460=Parametres!$G$2,$Q460=Parametres!$G$3),K460,E460)</f>
        <v>-192138.92</v>
      </c>
      <c r="Q460" s="154" t="str">
        <f t="shared" si="37"/>
        <v>8-Autres revenus</v>
      </c>
      <c r="R460" s="153" t="str">
        <f t="shared" si="38"/>
        <v>9163</v>
      </c>
      <c r="S460" s="154">
        <f t="shared" si="39"/>
        <v>0</v>
      </c>
      <c r="T460" s="156" t="str">
        <f>+VLOOKUP($L460,Data_Validation!$A:$D,1,0)</f>
        <v>9171</v>
      </c>
      <c r="U460" s="156" t="str">
        <f>+VLOOKUP($L460,Data_Validation!$A:$D,3,0)</f>
        <v>Véhicules usagés</v>
      </c>
      <c r="V460" s="156" t="str">
        <f>+VLOOKUP($L460,Data_Validation!$A:$D,4,0)</f>
        <v>Rev. Protections</v>
      </c>
      <c r="W460" s="156" t="str">
        <f>+VLOOKUP($L460,Data_Validation!$A:$E,5,0)</f>
        <v>$</v>
      </c>
      <c r="X460" s="156" t="str">
        <f>+VLOOKUP($L460,Data_Validation!$A:$F,6,0)</f>
        <v>Oui</v>
      </c>
    </row>
    <row r="461" spans="1:24" ht="15.75" hidden="1" customHeight="1">
      <c r="A461" s="1147" t="s">
        <v>2096</v>
      </c>
      <c r="B461" s="1147" t="s">
        <v>2097</v>
      </c>
      <c r="C461" s="1149">
        <v>-77006.009999999995</v>
      </c>
      <c r="D461" s="1149">
        <v>-17563.79</v>
      </c>
      <c r="E461" s="1149">
        <v>-94569.8</v>
      </c>
      <c r="F461" s="1147" t="s">
        <v>304</v>
      </c>
      <c r="G461" s="1147" t="s">
        <v>2085</v>
      </c>
      <c r="H461" s="150"/>
      <c r="I461" s="151"/>
      <c r="J461" s="151"/>
      <c r="K461" s="151"/>
      <c r="L461" s="153" t="str">
        <f t="shared" si="35"/>
        <v>9172</v>
      </c>
      <c r="M461" s="154" t="str">
        <f t="shared" si="36"/>
        <v>PROFIT PROTECTIONS - USAGES</v>
      </c>
      <c r="N461" s="155">
        <f>+IF(OR($Q461=Parametres!$G$2,$Q461=Parametres!$G$3),I461,C461)</f>
        <v>-77006.009999999995</v>
      </c>
      <c r="O461" s="1122">
        <f>+IF(OR($Q461=Parametres!$G$2,$Q461=Parametres!$G$3),J461,D461)</f>
        <v>-17563.79</v>
      </c>
      <c r="P461" s="155">
        <f>+IF(OR($Q461=Parametres!$G$2,$Q461=Parametres!$G$3),K461,E461)</f>
        <v>-94569.8</v>
      </c>
      <c r="Q461" s="154" t="str">
        <f t="shared" si="37"/>
        <v>8-Autres revenus</v>
      </c>
      <c r="R461" s="153" t="str">
        <f t="shared" si="38"/>
        <v>9163</v>
      </c>
      <c r="S461" s="154">
        <f t="shared" si="39"/>
        <v>0</v>
      </c>
      <c r="T461" s="156" t="str">
        <f>+VLOOKUP($L461,Data_Validation!$A:$D,1,0)</f>
        <v>9172</v>
      </c>
      <c r="U461" s="156" t="str">
        <f>+VLOOKUP($L461,Data_Validation!$A:$D,3,0)</f>
        <v>Véhicules usagés</v>
      </c>
      <c r="V461" s="156" t="str">
        <f>+VLOOKUP($L461,Data_Validation!$A:$D,4,0)</f>
        <v>Rev. Protections</v>
      </c>
      <c r="W461" s="156" t="str">
        <f>+VLOOKUP($L461,Data_Validation!$A:$E,5,0)</f>
        <v>$</v>
      </c>
      <c r="X461" s="156" t="str">
        <f>+VLOOKUP($L461,Data_Validation!$A:$F,6,0)</f>
        <v>Oui</v>
      </c>
    </row>
    <row r="462" spans="1:24" ht="15" hidden="1" customHeight="1">
      <c r="A462" s="1147" t="s">
        <v>2080</v>
      </c>
      <c r="B462" s="1147" t="s">
        <v>2081</v>
      </c>
      <c r="C462" s="1149">
        <v>-177088.7</v>
      </c>
      <c r="D462" s="1149">
        <v>-34411</v>
      </c>
      <c r="E462" s="1149">
        <v>-211499.7</v>
      </c>
      <c r="F462" s="1147" t="s">
        <v>304</v>
      </c>
      <c r="G462" s="1147" t="s">
        <v>2063</v>
      </c>
      <c r="H462" s="150"/>
      <c r="I462" s="151"/>
      <c r="J462" s="151"/>
      <c r="K462" s="151"/>
      <c r="L462" s="153" t="str">
        <f t="shared" si="35"/>
        <v>9173</v>
      </c>
      <c r="M462" s="154" t="str">
        <f t="shared" si="36"/>
        <v>FRAIS ADMIN. VOLKS</v>
      </c>
      <c r="N462" s="155">
        <f>+IF(OR($Q462=Parametres!$G$2,$Q462=Parametres!$G$3),I462,C462)</f>
        <v>-177088.7</v>
      </c>
      <c r="O462" s="1122">
        <f>+IF(OR($Q462=Parametres!$G$2,$Q462=Parametres!$G$3),J462,D462)</f>
        <v>-34411</v>
      </c>
      <c r="P462" s="155">
        <f>+IF(OR($Q462=Parametres!$G$2,$Q462=Parametres!$G$3),K462,E462)</f>
        <v>-211499.7</v>
      </c>
      <c r="Q462" s="154" t="str">
        <f t="shared" si="37"/>
        <v>8-Autres revenus</v>
      </c>
      <c r="R462" s="153" t="str">
        <f t="shared" si="38"/>
        <v>9191</v>
      </c>
      <c r="S462" s="154">
        <f t="shared" si="39"/>
        <v>0</v>
      </c>
      <c r="T462" s="156" t="str">
        <f>+VLOOKUP($L462,Data_Validation!$A:$D,1,0)</f>
        <v>9173</v>
      </c>
      <c r="U462" s="156" t="str">
        <f>+VLOOKUP($L462,Data_Validation!$A:$D,3,0)</f>
        <v>Véhicules neufs</v>
      </c>
      <c r="V462" s="156" t="str">
        <f>+VLOOKUP($L462,Data_Validation!$A:$D,4,0)</f>
        <v>Frais administration</v>
      </c>
      <c r="W462" s="156" t="str">
        <f>+VLOOKUP($L462,Data_Validation!$A:$E,5,0)</f>
        <v>$</v>
      </c>
      <c r="X462" s="156">
        <f>+VLOOKUP($L462,Data_Validation!$A:$F,6,0)</f>
        <v>0</v>
      </c>
    </row>
    <row r="463" spans="1:24" ht="15" hidden="1" customHeight="1">
      <c r="A463" s="1147" t="s">
        <v>2062</v>
      </c>
      <c r="B463" s="1147" t="s">
        <v>2063</v>
      </c>
      <c r="C463" s="1149">
        <v>-166132.92000000001</v>
      </c>
      <c r="D463" s="1149">
        <v>-1082.47</v>
      </c>
      <c r="E463" s="1149">
        <v>-167215.39000000001</v>
      </c>
      <c r="F463" s="1147" t="s">
        <v>304</v>
      </c>
      <c r="G463" s="1147" t="s">
        <v>2063</v>
      </c>
      <c r="H463" s="150"/>
      <c r="I463" s="152"/>
      <c r="J463" s="152"/>
      <c r="K463" s="152"/>
      <c r="L463" s="153" t="str">
        <f t="shared" si="35"/>
        <v>9191</v>
      </c>
      <c r="M463" s="154" t="str">
        <f t="shared" si="36"/>
        <v>REVENUS DIVERS</v>
      </c>
      <c r="N463" s="155">
        <f>+IF(OR($Q463=Parametres!$G$2,$Q463=Parametres!$G$3),I463,C463)</f>
        <v>-166132.92000000001</v>
      </c>
      <c r="O463" s="1122">
        <f>+IF(OR($Q463=Parametres!$G$2,$Q463=Parametres!$G$3),J463,D463)</f>
        <v>-1082.47</v>
      </c>
      <c r="P463" s="155">
        <f>+IF(OR($Q463=Parametres!$G$2,$Q463=Parametres!$G$3),K463,E463)</f>
        <v>-167215.39000000001</v>
      </c>
      <c r="Q463" s="154" t="str">
        <f t="shared" si="37"/>
        <v>8-Autres revenus</v>
      </c>
      <c r="R463" s="153" t="str">
        <f t="shared" si="38"/>
        <v>9191</v>
      </c>
      <c r="S463" s="154">
        <f t="shared" si="39"/>
        <v>0</v>
      </c>
      <c r="T463" s="156" t="str">
        <f>+VLOOKUP($L463,Data_Validation!$A:$D,1,0)</f>
        <v>9191</v>
      </c>
      <c r="U463" s="156" t="str">
        <f>+VLOOKUP($L463,Data_Validation!$A:$D,3,0)</f>
        <v>TOTAL  DES  REVENUS  ET  DÉPENSES</v>
      </c>
      <c r="V463" s="156" t="str">
        <f>+VLOOKUP($L463,Data_Validation!$A:$D,4,0)</f>
        <v>Revenus autres</v>
      </c>
      <c r="W463" s="156" t="str">
        <f>+VLOOKUP($L463,Data_Validation!$A:$E,5,0)</f>
        <v>$</v>
      </c>
      <c r="X463" s="156">
        <f>+VLOOKUP($L463,Data_Validation!$A:$F,6,0)</f>
        <v>0</v>
      </c>
    </row>
    <row r="464" spans="1:24" ht="15" hidden="1" customHeight="1">
      <c r="A464" s="1147" t="s">
        <v>2650</v>
      </c>
      <c r="B464" s="1147" t="s">
        <v>2176</v>
      </c>
      <c r="C464" s="1149">
        <v>2390.04</v>
      </c>
      <c r="D464" s="1149">
        <v>398.34</v>
      </c>
      <c r="E464" s="1149">
        <v>2788.38</v>
      </c>
      <c r="F464" s="1147" t="s">
        <v>1235</v>
      </c>
      <c r="G464" s="1147" t="s">
        <v>2176</v>
      </c>
      <c r="H464" s="150"/>
      <c r="I464" s="151"/>
      <c r="J464" s="151"/>
      <c r="K464" s="151"/>
      <c r="L464" s="153" t="str">
        <f t="shared" si="35"/>
        <v>9402</v>
      </c>
      <c r="M464" s="154" t="str">
        <f t="shared" si="36"/>
        <v>DEPENSE D'INTERETS</v>
      </c>
      <c r="N464" s="155">
        <f>+IF(OR($Q464=Parametres!$G$2,$Q464=Parametres!$G$3),I464,C464)</f>
        <v>2390.04</v>
      </c>
      <c r="O464" s="1122">
        <f>+IF(OR($Q464=Parametres!$G$2,$Q464=Parametres!$G$3),J464,D464)</f>
        <v>398.34</v>
      </c>
      <c r="P464" s="155">
        <f>+IF(OR($Q464=Parametres!$G$2,$Q464=Parametres!$G$3),K464,E464)</f>
        <v>2788.38</v>
      </c>
      <c r="Q464" s="154" t="str">
        <f t="shared" si="37"/>
        <v>9-Autres déductions</v>
      </c>
      <c r="R464" s="153" t="str">
        <f t="shared" si="38"/>
        <v>9402</v>
      </c>
      <c r="S464" s="154">
        <f t="shared" si="39"/>
        <v>0</v>
      </c>
      <c r="T464" s="156" t="str">
        <f>+VLOOKUP($L464,Data_Validation!$A:$D,1,0)</f>
        <v>9402</v>
      </c>
      <c r="U464" s="156" t="str">
        <f>+VLOOKUP($L464,Data_Validation!$A:$D,3,0)</f>
        <v>TOTAL  DES  REVENUS  ET  DÉPENSES</v>
      </c>
      <c r="V464" s="156" t="str">
        <f>+VLOOKUP($L464,Data_Validation!$A:$D,4,0)</f>
        <v>Intérêts sur prêt</v>
      </c>
      <c r="W464" s="156" t="str">
        <f>+VLOOKUP($L464,Data_Validation!$A:$E,5,0)</f>
        <v>$</v>
      </c>
      <c r="X464" s="156">
        <f>+VLOOKUP($L464,Data_Validation!$A:$F,6,0)</f>
        <v>0</v>
      </c>
    </row>
    <row r="465" spans="1:24" ht="15" hidden="1" customHeight="1">
      <c r="A465" s="1147" t="s">
        <v>2174</v>
      </c>
      <c r="B465" s="1147" t="s">
        <v>2175</v>
      </c>
      <c r="C465" s="1149">
        <v>-5534.69</v>
      </c>
      <c r="D465" s="1149">
        <v>896.96</v>
      </c>
      <c r="E465" s="1149">
        <v>-4637.7299999999996</v>
      </c>
      <c r="F465" s="1147" t="s">
        <v>1235</v>
      </c>
      <c r="G465" s="1147" t="s">
        <v>2176</v>
      </c>
      <c r="H465" s="150"/>
      <c r="I465" s="157"/>
      <c r="J465" s="157"/>
      <c r="K465" s="157"/>
      <c r="L465" s="153" t="str">
        <f t="shared" si="35"/>
        <v>9403</v>
      </c>
      <c r="M465" s="154" t="str">
        <f t="shared" si="36"/>
        <v>INTERETS SUR MARGE CREDIT</v>
      </c>
      <c r="N465" s="155">
        <f>+IF(OR($Q465=Parametres!$G$2,$Q465=Parametres!$G$3),I465,C465)</f>
        <v>-5534.69</v>
      </c>
      <c r="O465" s="1122">
        <f>+IF(OR($Q465=Parametres!$G$2,$Q465=Parametres!$G$3),J465,D465)</f>
        <v>896.96</v>
      </c>
      <c r="P465" s="155">
        <f>+IF(OR($Q465=Parametres!$G$2,$Q465=Parametres!$G$3),K465,E465)</f>
        <v>-4637.7299999999996</v>
      </c>
      <c r="Q465" s="154" t="str">
        <f t="shared" si="37"/>
        <v>9-Autres déductions</v>
      </c>
      <c r="R465" s="153" t="str">
        <f t="shared" si="38"/>
        <v>9402</v>
      </c>
      <c r="S465" s="154">
        <f t="shared" si="39"/>
        <v>0</v>
      </c>
      <c r="T465" s="156" t="str">
        <f>+VLOOKUP($L465,Data_Validation!$A:$D,1,0)</f>
        <v>9403</v>
      </c>
      <c r="U465" s="156" t="str">
        <f>+VLOOKUP($L465,Data_Validation!$A:$D,3,0)</f>
        <v>TOTAL  DES  REVENUS  ET  DÉPENSES</v>
      </c>
      <c r="V465" s="156" t="str">
        <f>+VLOOKUP($L465,Data_Validation!$A:$D,4,0)</f>
        <v>Intérêts sur marge</v>
      </c>
      <c r="W465" s="156" t="str">
        <f>+VLOOKUP($L465,Data_Validation!$A:$E,5,0)</f>
        <v>$</v>
      </c>
      <c r="X465" s="156">
        <f>+VLOOKUP($L465,Data_Validation!$A:$F,6,0)</f>
        <v>0</v>
      </c>
    </row>
    <row r="466" spans="1:24" ht="15.75" hidden="1" customHeight="1">
      <c r="A466" s="1147" t="s">
        <v>1389</v>
      </c>
      <c r="B466" s="1147" t="s">
        <v>2599</v>
      </c>
      <c r="C466" s="1149">
        <v>1033.5</v>
      </c>
      <c r="D466" s="1149">
        <v>172.25</v>
      </c>
      <c r="E466" s="1149">
        <v>1205.75</v>
      </c>
      <c r="F466" s="1147" t="s">
        <v>1235</v>
      </c>
      <c r="G466" s="1147" t="s">
        <v>2176</v>
      </c>
      <c r="H466" s="150"/>
      <c r="I466" s="151"/>
      <c r="J466" s="151"/>
      <c r="K466" s="151"/>
      <c r="L466" s="153" t="str">
        <f t="shared" si="35"/>
        <v>9404</v>
      </c>
      <c r="M466" s="154" t="str">
        <f t="shared" si="36"/>
        <v>INTERETS SUR PRET</v>
      </c>
      <c r="N466" s="155">
        <f>+IF(OR($Q466=Parametres!$G$2,$Q466=Parametres!$G$3),I466,C466)</f>
        <v>1033.5</v>
      </c>
      <c r="O466" s="1122">
        <f>+IF(OR($Q466=Parametres!$G$2,$Q466=Parametres!$G$3),J466,D466)</f>
        <v>172.25</v>
      </c>
      <c r="P466" s="155">
        <f>+IF(OR($Q466=Parametres!$G$2,$Q466=Parametres!$G$3),K466,E466)</f>
        <v>1205.75</v>
      </c>
      <c r="Q466" s="154" t="str">
        <f t="shared" si="37"/>
        <v>9-Autres déductions</v>
      </c>
      <c r="R466" s="153" t="str">
        <f t="shared" si="38"/>
        <v>9402</v>
      </c>
      <c r="S466" s="154">
        <f t="shared" si="39"/>
        <v>0</v>
      </c>
      <c r="T466" s="156" t="str">
        <f>+VLOOKUP($L466,Data_Validation!$A:$D,1,0)</f>
        <v>9404</v>
      </c>
      <c r="U466" s="156" t="str">
        <f>+VLOOKUP($L466,Data_Validation!$A:$D,3,0)</f>
        <v>TOTAL  DES  REVENUS  ET  DÉPENSES</v>
      </c>
      <c r="V466" s="156" t="str">
        <f>+VLOOKUP($L466,Data_Validation!$A:$D,4,0)</f>
        <v>Intérêts sur prêt</v>
      </c>
      <c r="W466" s="156" t="str">
        <f>+VLOOKUP($L466,Data_Validation!$A:$E,5,0)</f>
        <v>$</v>
      </c>
      <c r="X466" s="156">
        <f>+VLOOKUP($L466,Data_Validation!$A:$F,6,0)</f>
        <v>0</v>
      </c>
    </row>
    <row r="467" spans="1:24" ht="15" hidden="1" customHeight="1">
      <c r="A467" s="1147" t="s">
        <v>1385</v>
      </c>
      <c r="B467" s="1147" t="s">
        <v>2782</v>
      </c>
      <c r="C467" s="1149">
        <v>38051.699999999997</v>
      </c>
      <c r="D467" s="1149">
        <v>7040.08</v>
      </c>
      <c r="E467" s="1149">
        <v>45091.78</v>
      </c>
      <c r="F467" s="1147" t="s">
        <v>1235</v>
      </c>
      <c r="G467" s="1147" t="s">
        <v>2176</v>
      </c>
      <c r="H467" s="150"/>
      <c r="I467" s="151"/>
      <c r="J467" s="151"/>
      <c r="K467" s="151"/>
      <c r="L467" s="153" t="str">
        <f t="shared" si="35"/>
        <v>9406</v>
      </c>
      <c r="M467" s="154" t="str">
        <f t="shared" si="36"/>
        <v>FRAIS BANCAIRES</v>
      </c>
      <c r="N467" s="155">
        <f>+IF(OR($Q467=Parametres!$G$2,$Q467=Parametres!$G$3),I467,C467)</f>
        <v>38051.699999999997</v>
      </c>
      <c r="O467" s="1122">
        <f>+IF(OR($Q467=Parametres!$G$2,$Q467=Parametres!$G$3),J467,D467)</f>
        <v>7040.08</v>
      </c>
      <c r="P467" s="155">
        <f>+IF(OR($Q467=Parametres!$G$2,$Q467=Parametres!$G$3),K467,E467)</f>
        <v>45091.78</v>
      </c>
      <c r="Q467" s="154" t="str">
        <f t="shared" si="37"/>
        <v>9-Autres déductions</v>
      </c>
      <c r="R467" s="153" t="str">
        <f t="shared" si="38"/>
        <v>9402</v>
      </c>
      <c r="S467" s="154">
        <f t="shared" si="39"/>
        <v>0</v>
      </c>
      <c r="T467" s="156" t="str">
        <f>+VLOOKUP($L467,Data_Validation!$A:$D,1,0)</f>
        <v>9406</v>
      </c>
      <c r="U467" s="156" t="str">
        <f>+VLOOKUP($L467,Data_Validation!$A:$D,3,0)</f>
        <v>Véhicules neufs</v>
      </c>
      <c r="V467" s="156" t="str">
        <f>+VLOOKUP($L467,Data_Validation!$A:$D,4,0)</f>
        <v>Frais bancaires</v>
      </c>
      <c r="W467" s="156" t="str">
        <f>+VLOOKUP($L467,Data_Validation!$A:$E,5,0)</f>
        <v>$</v>
      </c>
      <c r="X467" s="156">
        <f>+VLOOKUP($L467,Data_Validation!$A:$F,6,0)</f>
        <v>0</v>
      </c>
    </row>
    <row r="468" spans="1:24" ht="15" hidden="1" customHeight="1">
      <c r="A468" s="1147"/>
      <c r="B468" s="1147"/>
      <c r="C468" s="1149"/>
      <c r="D468" s="1149"/>
      <c r="E468" s="1149"/>
      <c r="F468" s="1147"/>
      <c r="G468" s="1147"/>
      <c r="H468" s="150"/>
      <c r="I468" s="151"/>
      <c r="J468" s="151"/>
      <c r="K468" s="151"/>
      <c r="L468" s="153">
        <f t="shared" si="35"/>
        <v>0</v>
      </c>
      <c r="M468" s="154">
        <f t="shared" si="36"/>
        <v>0</v>
      </c>
      <c r="N468" s="155">
        <f>+IF(OR($Q468=Parametres!$G$2,$Q468=Parametres!$G$3),I468,C468)</f>
        <v>0</v>
      </c>
      <c r="O468" s="1122">
        <f>+IF(OR($Q468=Parametres!$G$2,$Q468=Parametres!$G$3),J468,D468)</f>
        <v>0</v>
      </c>
      <c r="P468" s="155">
        <f>+IF(OR($Q468=Parametres!$G$2,$Q468=Parametres!$G$3),K468,E468)</f>
        <v>0</v>
      </c>
      <c r="Q468" s="154">
        <f t="shared" si="37"/>
        <v>0</v>
      </c>
      <c r="R468" s="153">
        <f t="shared" si="38"/>
        <v>0</v>
      </c>
      <c r="S468" s="154">
        <f t="shared" si="39"/>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hidden="1" customHeight="1">
      <c r="A469" s="1147"/>
      <c r="B469" s="1147"/>
      <c r="C469" s="1149"/>
      <c r="D469" s="1149"/>
      <c r="E469" s="1149"/>
      <c r="F469" s="1147"/>
      <c r="G469" s="1147"/>
      <c r="H469" s="150"/>
      <c r="I469" s="157"/>
      <c r="J469" s="157"/>
      <c r="K469" s="157"/>
      <c r="L469" s="153">
        <f t="shared" si="35"/>
        <v>0</v>
      </c>
      <c r="M469" s="154">
        <f t="shared" si="36"/>
        <v>0</v>
      </c>
      <c r="N469" s="155">
        <f>+IF(OR($Q469=Parametres!$G$2,$Q469=Parametres!$G$3),I469,C469)</f>
        <v>0</v>
      </c>
      <c r="O469" s="1122">
        <f>+IF(OR($Q469=Parametres!$G$2,$Q469=Parametres!$G$3),J469,D469)</f>
        <v>0</v>
      </c>
      <c r="P469" s="155">
        <f>+IF(OR($Q469=Parametres!$G$2,$Q469=Parametres!$G$3),K469,E469)</f>
        <v>0</v>
      </c>
      <c r="Q469" s="154">
        <f t="shared" si="37"/>
        <v>0</v>
      </c>
      <c r="R469" s="153">
        <f t="shared" si="38"/>
        <v>0</v>
      </c>
      <c r="S469" s="154">
        <f t="shared" si="39"/>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hidden="1" customHeight="1">
      <c r="A470" s="1147"/>
      <c r="B470" s="1147"/>
      <c r="C470" s="1149"/>
      <c r="D470" s="1149"/>
      <c r="E470" s="1149"/>
      <c r="F470" s="1147"/>
      <c r="G470" s="1147"/>
      <c r="H470" s="150"/>
      <c r="I470" s="151"/>
      <c r="J470" s="151"/>
      <c r="K470" s="151"/>
      <c r="L470" s="153">
        <f t="shared" si="35"/>
        <v>0</v>
      </c>
      <c r="M470" s="154">
        <f t="shared" si="36"/>
        <v>0</v>
      </c>
      <c r="N470" s="155">
        <f>+IF(OR($Q470=Parametres!$G$2,$Q470=Parametres!$G$3),I470,C470)</f>
        <v>0</v>
      </c>
      <c r="O470" s="1122">
        <f>+IF(OR($Q470=Parametres!$G$2,$Q470=Parametres!$G$3),J470,D470)</f>
        <v>0</v>
      </c>
      <c r="P470" s="155">
        <f>+IF(OR($Q470=Parametres!$G$2,$Q470=Parametres!$G$3),K470,E470)</f>
        <v>0</v>
      </c>
      <c r="Q470" s="154">
        <f t="shared" si="37"/>
        <v>0</v>
      </c>
      <c r="R470" s="153">
        <f t="shared" si="38"/>
        <v>0</v>
      </c>
      <c r="S470" s="154">
        <f t="shared" si="39"/>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hidden="1" customHeight="1">
      <c r="A471" s="1147"/>
      <c r="B471" s="1147"/>
      <c r="C471" s="1149"/>
      <c r="D471" s="1149"/>
      <c r="E471" s="1149"/>
      <c r="F471" s="1147"/>
      <c r="G471" s="1147"/>
      <c r="H471" s="150"/>
      <c r="I471" s="157"/>
      <c r="J471" s="157"/>
      <c r="K471" s="157"/>
      <c r="L471" s="153">
        <f t="shared" si="35"/>
        <v>0</v>
      </c>
      <c r="M471" s="154">
        <f t="shared" si="36"/>
        <v>0</v>
      </c>
      <c r="N471" s="155">
        <f>+IF(OR($Q471=Parametres!$G$2,$Q471=Parametres!$G$3),I471,C471)</f>
        <v>0</v>
      </c>
      <c r="O471" s="1122">
        <f>+IF(OR($Q471=Parametres!$G$2,$Q471=Parametres!$G$3),J471,D471)</f>
        <v>0</v>
      </c>
      <c r="P471" s="155">
        <f>+IF(OR($Q471=Parametres!$G$2,$Q471=Parametres!$G$3),K471,E471)</f>
        <v>0</v>
      </c>
      <c r="Q471" s="154">
        <f t="shared" si="37"/>
        <v>0</v>
      </c>
      <c r="R471" s="153">
        <f t="shared" si="38"/>
        <v>0</v>
      </c>
      <c r="S471" s="154">
        <f t="shared" si="39"/>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75" hidden="1" customHeight="1">
      <c r="A472" s="1147"/>
      <c r="B472" s="1147"/>
      <c r="C472" s="1149"/>
      <c r="D472" s="1149"/>
      <c r="E472" s="1149"/>
      <c r="F472" s="1147"/>
      <c r="G472" s="1147"/>
      <c r="H472" s="948"/>
      <c r="I472" s="948"/>
      <c r="J472" s="948"/>
      <c r="K472" s="948"/>
      <c r="L472" s="153">
        <f t="shared" si="35"/>
        <v>0</v>
      </c>
      <c r="M472" s="154">
        <f t="shared" si="36"/>
        <v>0</v>
      </c>
      <c r="N472" s="155">
        <f>+IF(OR($Q472=Parametres!$G$2,$Q472=Parametres!$G$3),I472,C472)</f>
        <v>0</v>
      </c>
      <c r="O472" s="1122">
        <f>+IF(OR($Q472=Parametres!$G$2,$Q472=Parametres!$G$3),J472,D472)</f>
        <v>0</v>
      </c>
      <c r="P472" s="155">
        <f>+IF(OR($Q472=Parametres!$G$2,$Q472=Parametres!$G$3),K472,E472)</f>
        <v>0</v>
      </c>
      <c r="Q472" s="154">
        <f t="shared" si="37"/>
        <v>0</v>
      </c>
      <c r="R472" s="153">
        <f t="shared" si="38"/>
        <v>0</v>
      </c>
      <c r="S472" s="154">
        <f t="shared" si="39"/>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 hidden="1" customHeight="1">
      <c r="A473" s="1147"/>
      <c r="B473" s="1147"/>
      <c r="C473" s="1149"/>
      <c r="D473" s="1149"/>
      <c r="E473" s="1149"/>
      <c r="F473" s="1147"/>
      <c r="G473" s="1147"/>
      <c r="H473" s="150"/>
      <c r="I473" s="157"/>
      <c r="J473" s="157"/>
      <c r="K473" s="157"/>
      <c r="L473" s="153">
        <f t="shared" si="35"/>
        <v>0</v>
      </c>
      <c r="M473" s="154">
        <f t="shared" si="36"/>
        <v>0</v>
      </c>
      <c r="N473" s="155">
        <f>+IF(OR($Q473=Parametres!$G$2,$Q473=Parametres!$G$3),I473,C473)</f>
        <v>0</v>
      </c>
      <c r="O473" s="1120">
        <f>+IF(OR($Q473=Parametres!$G$2,$Q473=Parametres!$G$3),J473,D473)</f>
        <v>0</v>
      </c>
      <c r="P473" s="155">
        <f>+IF(OR($Q473=Parametres!$G$2,$Q473=Parametres!$G$3),K473,E473)</f>
        <v>0</v>
      </c>
      <c r="Q473" s="154">
        <f t="shared" si="37"/>
        <v>0</v>
      </c>
      <c r="R473" s="153">
        <f t="shared" si="38"/>
        <v>0</v>
      </c>
      <c r="S473" s="154">
        <f t="shared" si="39"/>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hidden="1" customHeight="1">
      <c r="A474" s="1147"/>
      <c r="B474" s="1147"/>
      <c r="C474" s="1149"/>
      <c r="D474" s="1149"/>
      <c r="E474" s="1149"/>
      <c r="F474" s="1147"/>
      <c r="G474" s="1147"/>
      <c r="H474" s="150"/>
      <c r="I474" s="157"/>
      <c r="J474" s="157"/>
      <c r="K474" s="157"/>
      <c r="L474" s="153">
        <f t="shared" si="35"/>
        <v>0</v>
      </c>
      <c r="M474" s="154">
        <f t="shared" si="36"/>
        <v>0</v>
      </c>
      <c r="N474" s="155">
        <f>+IF(OR($Q474=Parametres!$G$2,$Q474=Parametres!$G$3),I474,C474)</f>
        <v>0</v>
      </c>
      <c r="O474" s="1122">
        <f>+IF(OR($Q474=Parametres!$G$2,$Q474=Parametres!$G$3),J474,D474)</f>
        <v>0</v>
      </c>
      <c r="P474" s="155">
        <f>+IF(OR($Q474=Parametres!$G$2,$Q474=Parametres!$G$3),K474,E474)</f>
        <v>0</v>
      </c>
      <c r="Q474" s="154">
        <f t="shared" si="37"/>
        <v>0</v>
      </c>
      <c r="R474" s="153">
        <f t="shared" si="38"/>
        <v>0</v>
      </c>
      <c r="S474" s="154">
        <f t="shared" si="39"/>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hidden="1" customHeight="1">
      <c r="A475" s="946"/>
      <c r="B475" s="946"/>
      <c r="C475" s="947"/>
      <c r="D475" s="947"/>
      <c r="E475" s="947"/>
      <c r="F475" s="946"/>
      <c r="G475" s="946"/>
      <c r="H475" s="150"/>
      <c r="I475" s="157"/>
      <c r="J475" s="157"/>
      <c r="K475" s="157"/>
      <c r="L475" s="153">
        <f t="shared" si="35"/>
        <v>0</v>
      </c>
      <c r="M475" s="154">
        <f t="shared" si="36"/>
        <v>0</v>
      </c>
      <c r="N475" s="155">
        <f>+IF(OR($Q475=Parametres!$G$2,$Q475=Parametres!$G$3),I475,C475)</f>
        <v>0</v>
      </c>
      <c r="O475" s="1122">
        <f>+IF(OR($Q475=Parametres!$G$2,$Q475=Parametres!$G$3),J475,D475)</f>
        <v>0</v>
      </c>
      <c r="P475" s="155">
        <f>+IF(OR($Q475=Parametres!$G$2,$Q475=Parametres!$G$3),K475,E475)</f>
        <v>0</v>
      </c>
      <c r="Q475" s="154">
        <f t="shared" si="37"/>
        <v>0</v>
      </c>
      <c r="R475" s="153">
        <f t="shared" si="38"/>
        <v>0</v>
      </c>
      <c r="S475" s="154">
        <f t="shared" si="39"/>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75" hidden="1" customHeight="1">
      <c r="A476" s="946"/>
      <c r="B476" s="946"/>
      <c r="C476" s="947"/>
      <c r="D476" s="947"/>
      <c r="E476" s="947"/>
      <c r="F476" s="946"/>
      <c r="G476" s="946"/>
      <c r="H476" s="150"/>
      <c r="I476" s="151"/>
      <c r="J476" s="151"/>
      <c r="K476" s="151"/>
      <c r="L476" s="153">
        <f t="shared" si="35"/>
        <v>0</v>
      </c>
      <c r="M476" s="154">
        <f t="shared" si="36"/>
        <v>0</v>
      </c>
      <c r="N476" s="155">
        <f>+IF(OR($Q476=Parametres!$G$2,$Q476=Parametres!$G$3),I476,C476)</f>
        <v>0</v>
      </c>
      <c r="O476" s="1122">
        <f>+IF(OR($Q476=Parametres!$G$2,$Q476=Parametres!$G$3),J476,D476)</f>
        <v>0</v>
      </c>
      <c r="P476" s="155">
        <f>+IF(OR($Q476=Parametres!$G$2,$Q476=Parametres!$G$3),K476,E476)</f>
        <v>0</v>
      </c>
      <c r="Q476" s="154">
        <f t="shared" si="37"/>
        <v>0</v>
      </c>
      <c r="R476" s="153">
        <f t="shared" si="38"/>
        <v>0</v>
      </c>
      <c r="S476" s="154">
        <f t="shared" si="39"/>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 hidden="1" customHeight="1">
      <c r="A477" s="946"/>
      <c r="B477" s="946"/>
      <c r="C477" s="947"/>
      <c r="D477" s="947"/>
      <c r="E477" s="947"/>
      <c r="F477" s="946"/>
      <c r="G477" s="946"/>
      <c r="H477" s="150"/>
      <c r="I477" s="152"/>
      <c r="J477" s="152"/>
      <c r="K477" s="152"/>
      <c r="L477" s="153">
        <f t="shared" si="35"/>
        <v>0</v>
      </c>
      <c r="M477" s="154">
        <f t="shared" si="36"/>
        <v>0</v>
      </c>
      <c r="N477" s="155">
        <f>+IF(OR($Q477=Parametres!$G$2,$Q477=Parametres!$G$3),I477,C477)</f>
        <v>0</v>
      </c>
      <c r="O477" s="1122">
        <f>+IF(OR($Q477=Parametres!$G$2,$Q477=Parametres!$G$3),J477,D477)</f>
        <v>0</v>
      </c>
      <c r="P477" s="155">
        <f>+IF(OR($Q477=Parametres!$G$2,$Q477=Parametres!$G$3),K477,E477)</f>
        <v>0</v>
      </c>
      <c r="Q477" s="154">
        <f t="shared" si="37"/>
        <v>0</v>
      </c>
      <c r="R477" s="153">
        <f t="shared" si="38"/>
        <v>0</v>
      </c>
      <c r="S477" s="154">
        <f t="shared" si="39"/>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hidden="1" customHeight="1">
      <c r="A478" s="946"/>
      <c r="B478" s="946"/>
      <c r="C478" s="947"/>
      <c r="D478" s="947"/>
      <c r="E478" s="947"/>
      <c r="F478" s="946"/>
      <c r="G478" s="946"/>
      <c r="H478" s="150"/>
      <c r="I478" s="157"/>
      <c r="J478" s="157"/>
      <c r="K478" s="157"/>
      <c r="L478" s="153">
        <f t="shared" si="35"/>
        <v>0</v>
      </c>
      <c r="M478" s="154">
        <f t="shared" si="36"/>
        <v>0</v>
      </c>
      <c r="N478" s="155">
        <f>+IF(OR($Q478=Parametres!$G$2,$Q478=Parametres!$G$3),I478,C478)</f>
        <v>0</v>
      </c>
      <c r="O478" s="1122">
        <f>+IF(OR($Q478=Parametres!$G$2,$Q478=Parametres!$G$3),J478,D478)</f>
        <v>0</v>
      </c>
      <c r="P478" s="155">
        <f>+IF(OR($Q478=Parametres!$G$2,$Q478=Parametres!$G$3),K478,E478)</f>
        <v>0</v>
      </c>
      <c r="Q478" s="154">
        <f t="shared" si="37"/>
        <v>0</v>
      </c>
      <c r="R478" s="153">
        <f t="shared" si="38"/>
        <v>0</v>
      </c>
      <c r="S478" s="154">
        <f t="shared" si="39"/>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hidden="1" customHeight="1">
      <c r="A479" s="946"/>
      <c r="B479" s="946"/>
      <c r="C479" s="947"/>
      <c r="D479" s="947"/>
      <c r="E479" s="947"/>
      <c r="F479" s="946"/>
      <c r="G479" s="946"/>
      <c r="H479" s="150"/>
      <c r="I479" s="151"/>
      <c r="J479" s="151"/>
      <c r="K479" s="151"/>
      <c r="L479" s="153">
        <f t="shared" si="35"/>
        <v>0</v>
      </c>
      <c r="M479" s="154">
        <f t="shared" si="36"/>
        <v>0</v>
      </c>
      <c r="N479" s="155">
        <f>+IF(OR($Q479=Parametres!$G$2,$Q479=Parametres!$G$3),I479,C479)</f>
        <v>0</v>
      </c>
      <c r="O479" s="1122">
        <f>+IF(OR($Q479=Parametres!$G$2,$Q479=Parametres!$G$3),J479,D479)</f>
        <v>0</v>
      </c>
      <c r="P479" s="155">
        <f>+IF(OR($Q479=Parametres!$G$2,$Q479=Parametres!$G$3),K479,E479)</f>
        <v>0</v>
      </c>
      <c r="Q479" s="154">
        <f t="shared" si="37"/>
        <v>0</v>
      </c>
      <c r="R479" s="153">
        <f t="shared" si="38"/>
        <v>0</v>
      </c>
      <c r="S479" s="154">
        <f t="shared" si="39"/>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hidden="1" customHeight="1">
      <c r="A480" s="946"/>
      <c r="B480" s="946"/>
      <c r="C480" s="947"/>
      <c r="D480" s="947"/>
      <c r="E480" s="947"/>
      <c r="F480" s="946"/>
      <c r="G480" s="946"/>
      <c r="H480" s="948"/>
      <c r="I480" s="948"/>
      <c r="J480" s="948"/>
      <c r="K480" s="948"/>
      <c r="L480" s="153">
        <f t="shared" si="35"/>
        <v>0</v>
      </c>
      <c r="M480" s="154">
        <f t="shared" si="36"/>
        <v>0</v>
      </c>
      <c r="N480" s="155">
        <f>+IF(OR($Q480=Parametres!$G$2,$Q480=Parametres!$G$3),I480,C480)</f>
        <v>0</v>
      </c>
      <c r="O480" s="1122">
        <f>+IF(OR($Q480=Parametres!$G$2,$Q480=Parametres!$G$3),J480,D480)</f>
        <v>0</v>
      </c>
      <c r="P480" s="155">
        <f>+IF(OR($Q480=Parametres!$G$2,$Q480=Parametres!$G$3),K480,E480)</f>
        <v>0</v>
      </c>
      <c r="Q480" s="154">
        <f t="shared" si="37"/>
        <v>0</v>
      </c>
      <c r="R480" s="153">
        <f t="shared" si="38"/>
        <v>0</v>
      </c>
      <c r="S480" s="154">
        <f t="shared" si="39"/>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75" hidden="1" customHeight="1">
      <c r="A481" s="946"/>
      <c r="B481" s="946"/>
      <c r="C481" s="947"/>
      <c r="D481" s="947"/>
      <c r="E481" s="947"/>
      <c r="F481" s="946"/>
      <c r="G481" s="946"/>
      <c r="H481" s="150"/>
      <c r="I481" s="157"/>
      <c r="J481" s="157"/>
      <c r="K481" s="157"/>
      <c r="L481" s="153">
        <f t="shared" si="35"/>
        <v>0</v>
      </c>
      <c r="M481" s="154">
        <f t="shared" si="36"/>
        <v>0</v>
      </c>
      <c r="N481" s="155">
        <f>+IF(OR($Q481=Parametres!$G$2,$Q481=Parametres!$G$3),I481,C481)</f>
        <v>0</v>
      </c>
      <c r="O481" s="1122">
        <f>+IF(OR($Q481=Parametres!$G$2,$Q481=Parametres!$G$3),J481,D481)</f>
        <v>0</v>
      </c>
      <c r="P481" s="155">
        <f>+IF(OR($Q481=Parametres!$G$2,$Q481=Parametres!$G$3),K481,E481)</f>
        <v>0</v>
      </c>
      <c r="Q481" s="154">
        <f t="shared" si="37"/>
        <v>0</v>
      </c>
      <c r="R481" s="153">
        <f t="shared" si="38"/>
        <v>0</v>
      </c>
      <c r="S481" s="154">
        <f t="shared" si="39"/>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 hidden="1" customHeight="1">
      <c r="A482" s="946"/>
      <c r="B482" s="946"/>
      <c r="C482" s="947"/>
      <c r="D482" s="947"/>
      <c r="E482" s="947"/>
      <c r="F482" s="946"/>
      <c r="G482" s="946"/>
      <c r="H482" s="150"/>
      <c r="I482" s="151"/>
      <c r="J482" s="151"/>
      <c r="K482" s="151"/>
      <c r="L482" s="153">
        <f t="shared" si="35"/>
        <v>0</v>
      </c>
      <c r="M482" s="154">
        <f t="shared" si="36"/>
        <v>0</v>
      </c>
      <c r="N482" s="155">
        <f>+IF(OR($Q482=Parametres!$G$2,$Q482=Parametres!$G$3),I482,C482)</f>
        <v>0</v>
      </c>
      <c r="O482" s="1122">
        <f>+IF(OR($Q482=Parametres!$G$2,$Q482=Parametres!$G$3),J482,D482)</f>
        <v>0</v>
      </c>
      <c r="P482" s="155">
        <f>+IF(OR($Q482=Parametres!$G$2,$Q482=Parametres!$G$3),K482,E482)</f>
        <v>0</v>
      </c>
      <c r="Q482" s="154">
        <f t="shared" si="37"/>
        <v>0</v>
      </c>
      <c r="R482" s="153">
        <f t="shared" si="38"/>
        <v>0</v>
      </c>
      <c r="S482" s="154">
        <f t="shared" si="39"/>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hidden="1" customHeight="1">
      <c r="A483" s="946"/>
      <c r="B483" s="946"/>
      <c r="C483" s="947"/>
      <c r="D483" s="947"/>
      <c r="E483" s="947"/>
      <c r="F483" s="946"/>
      <c r="G483" s="946"/>
      <c r="H483" s="948"/>
      <c r="I483" s="948"/>
      <c r="J483" s="948"/>
      <c r="K483" s="948"/>
      <c r="L483" s="153">
        <f t="shared" si="35"/>
        <v>0</v>
      </c>
      <c r="M483" s="154">
        <f t="shared" si="36"/>
        <v>0</v>
      </c>
      <c r="N483" s="155">
        <f>+IF(OR($Q483=Parametres!$G$2,$Q483=Parametres!$G$3),I483,C483)</f>
        <v>0</v>
      </c>
      <c r="O483" s="1122">
        <f>+IF(OR($Q483=Parametres!$G$2,$Q483=Parametres!$G$3),J483,D483)</f>
        <v>0</v>
      </c>
      <c r="P483" s="155">
        <f>+IF(OR($Q483=Parametres!$G$2,$Q483=Parametres!$G$3),K483,E483)</f>
        <v>0</v>
      </c>
      <c r="Q483" s="154">
        <f t="shared" si="37"/>
        <v>0</v>
      </c>
      <c r="R483" s="153">
        <f t="shared" si="38"/>
        <v>0</v>
      </c>
      <c r="S483" s="154">
        <f t="shared" si="39"/>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hidden="1" customHeight="1">
      <c r="A484" s="946"/>
      <c r="B484" s="946"/>
      <c r="C484" s="948"/>
      <c r="D484" s="948"/>
      <c r="E484" s="948"/>
      <c r="F484" s="946"/>
      <c r="G484" s="946"/>
      <c r="H484" s="948"/>
      <c r="I484" s="947"/>
      <c r="J484" s="947"/>
      <c r="K484" s="947"/>
      <c r="L484" s="153">
        <f t="shared" si="35"/>
        <v>0</v>
      </c>
      <c r="M484" s="154">
        <f t="shared" si="36"/>
        <v>0</v>
      </c>
      <c r="N484" s="155">
        <f>+IF(OR($Q484=Parametres!$G$2,$Q484=Parametres!$G$3),I484,C484)</f>
        <v>0</v>
      </c>
      <c r="O484" s="1122">
        <f>+IF(OR($Q484=Parametres!$G$2,$Q484=Parametres!$G$3),J484,D484)</f>
        <v>0</v>
      </c>
      <c r="P484" s="155">
        <f>+IF(OR($Q484=Parametres!$G$2,$Q484=Parametres!$G$3),K484,E484)</f>
        <v>0</v>
      </c>
      <c r="Q484" s="154">
        <f t="shared" si="37"/>
        <v>0</v>
      </c>
      <c r="R484" s="153">
        <f t="shared" si="38"/>
        <v>0</v>
      </c>
      <c r="S484" s="154">
        <f t="shared" si="39"/>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75" hidden="1" customHeight="1">
      <c r="A485" s="946"/>
      <c r="B485" s="946"/>
      <c r="C485" s="947"/>
      <c r="D485" s="947"/>
      <c r="E485" s="947"/>
      <c r="F485" s="946"/>
      <c r="G485" s="946"/>
      <c r="H485" s="150"/>
      <c r="I485" s="151"/>
      <c r="J485" s="151"/>
      <c r="K485" s="151"/>
      <c r="L485" s="153">
        <f t="shared" si="35"/>
        <v>0</v>
      </c>
      <c r="M485" s="154">
        <f t="shared" si="36"/>
        <v>0</v>
      </c>
      <c r="N485" s="155">
        <f>+IF(OR($Q485=Parametres!$G$2,$Q485=Parametres!$G$3),I485,C485)</f>
        <v>0</v>
      </c>
      <c r="O485" s="1122">
        <f>+IF(OR($Q485=Parametres!$G$2,$Q485=Parametres!$G$3),J485,D485)</f>
        <v>0</v>
      </c>
      <c r="P485" s="155">
        <f>+IF(OR($Q485=Parametres!$G$2,$Q485=Parametres!$G$3),K485,E485)</f>
        <v>0</v>
      </c>
      <c r="Q485" s="154">
        <f t="shared" si="37"/>
        <v>0</v>
      </c>
      <c r="R485" s="153">
        <f t="shared" si="38"/>
        <v>0</v>
      </c>
      <c r="S485" s="154">
        <f t="shared" si="39"/>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 hidden="1" customHeight="1">
      <c r="A486" s="946"/>
      <c r="B486" s="946"/>
      <c r="C486" s="947"/>
      <c r="D486" s="947"/>
      <c r="E486" s="947"/>
      <c r="F486" s="946"/>
      <c r="G486" s="946"/>
      <c r="H486" s="150"/>
      <c r="I486" s="152"/>
      <c r="J486" s="152"/>
      <c r="K486" s="152"/>
      <c r="L486" s="153">
        <f t="shared" si="35"/>
        <v>0</v>
      </c>
      <c r="M486" s="154">
        <f t="shared" si="36"/>
        <v>0</v>
      </c>
      <c r="N486" s="155">
        <f>+IF(OR($Q486=Parametres!$G$2,$Q486=Parametres!$G$3),I486,C486)</f>
        <v>0</v>
      </c>
      <c r="O486" s="1122">
        <f>+IF(OR($Q486=Parametres!$G$2,$Q486=Parametres!$G$3),J486,D486)</f>
        <v>0</v>
      </c>
      <c r="P486" s="155">
        <f>+IF(OR($Q486=Parametres!$G$2,$Q486=Parametres!$G$3),K486,E486)</f>
        <v>0</v>
      </c>
      <c r="Q486" s="154">
        <f t="shared" si="37"/>
        <v>0</v>
      </c>
      <c r="R486" s="153">
        <f t="shared" si="38"/>
        <v>0</v>
      </c>
      <c r="S486" s="154">
        <f t="shared" si="39"/>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hidden="1" customHeight="1">
      <c r="A487" s="946"/>
      <c r="B487" s="946"/>
      <c r="C487" s="947"/>
      <c r="D487" s="947"/>
      <c r="E487" s="947"/>
      <c r="F487" s="946"/>
      <c r="G487" s="946"/>
      <c r="H487" s="150"/>
      <c r="I487" s="151"/>
      <c r="J487" s="151"/>
      <c r="K487" s="151"/>
      <c r="L487" s="153">
        <f t="shared" si="35"/>
        <v>0</v>
      </c>
      <c r="M487" s="154">
        <f t="shared" si="36"/>
        <v>0</v>
      </c>
      <c r="N487" s="155">
        <f>+IF(OR($Q487=Parametres!$G$2,$Q487=Parametres!$G$3),I487,C487)</f>
        <v>0</v>
      </c>
      <c r="O487" s="1122">
        <f>+IF(OR($Q487=Parametres!$G$2,$Q487=Parametres!$G$3),J487,D487)</f>
        <v>0</v>
      </c>
      <c r="P487" s="155">
        <f>+IF(OR($Q487=Parametres!$G$2,$Q487=Parametres!$G$3),K487,E487)</f>
        <v>0</v>
      </c>
      <c r="Q487" s="154">
        <f t="shared" si="37"/>
        <v>0</v>
      </c>
      <c r="R487" s="153">
        <f t="shared" si="38"/>
        <v>0</v>
      </c>
      <c r="S487" s="154">
        <f t="shared" si="39"/>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hidden="1" customHeight="1">
      <c r="A488" s="946"/>
      <c r="B488" s="946"/>
      <c r="C488" s="947"/>
      <c r="D488" s="947"/>
      <c r="E488" s="947"/>
      <c r="F488" s="946"/>
      <c r="G488" s="946"/>
      <c r="H488" s="150"/>
      <c r="I488" s="151"/>
      <c r="J488" s="151"/>
      <c r="K488" s="151"/>
      <c r="L488" s="153">
        <f t="shared" si="35"/>
        <v>0</v>
      </c>
      <c r="M488" s="154">
        <f t="shared" si="36"/>
        <v>0</v>
      </c>
      <c r="N488" s="155">
        <f>+IF(OR($Q488=Parametres!$G$2,$Q488=Parametres!$G$3),I488,C488)</f>
        <v>0</v>
      </c>
      <c r="O488" s="1122">
        <f>+IF(OR($Q488=Parametres!$G$2,$Q488=Parametres!$G$3),J488,D488)</f>
        <v>0</v>
      </c>
      <c r="P488" s="155">
        <f>+IF(OR($Q488=Parametres!$G$2,$Q488=Parametres!$G$3),K488,E488)</f>
        <v>0</v>
      </c>
      <c r="Q488" s="154">
        <f t="shared" si="37"/>
        <v>0</v>
      </c>
      <c r="R488" s="153">
        <f t="shared" si="38"/>
        <v>0</v>
      </c>
      <c r="S488" s="154">
        <f t="shared" si="39"/>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hidden="1" customHeight="1">
      <c r="A489" s="946"/>
      <c r="B489" s="946"/>
      <c r="C489" s="947"/>
      <c r="D489" s="947"/>
      <c r="E489" s="947"/>
      <c r="F489" s="946"/>
      <c r="G489" s="946"/>
      <c r="H489" s="150"/>
      <c r="I489" s="151"/>
      <c r="J489" s="151"/>
      <c r="K489" s="151"/>
      <c r="L489" s="153">
        <f t="shared" si="35"/>
        <v>0</v>
      </c>
      <c r="M489" s="154">
        <f t="shared" si="36"/>
        <v>0</v>
      </c>
      <c r="N489" s="155">
        <f>+IF(OR($Q489=Parametres!$G$2,$Q489=Parametres!$G$3),I489,C489)</f>
        <v>0</v>
      </c>
      <c r="O489" s="1122">
        <f>+IF(OR($Q489=Parametres!$G$2,$Q489=Parametres!$G$3),J489,D489)</f>
        <v>0</v>
      </c>
      <c r="P489" s="155">
        <f>+IF(OR($Q489=Parametres!$G$2,$Q489=Parametres!$G$3),K489,E489)</f>
        <v>0</v>
      </c>
      <c r="Q489" s="154">
        <f t="shared" si="37"/>
        <v>0</v>
      </c>
      <c r="R489" s="153">
        <f t="shared" si="38"/>
        <v>0</v>
      </c>
      <c r="S489" s="154">
        <f t="shared" si="39"/>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75" hidden="1" customHeight="1">
      <c r="A490" s="946"/>
      <c r="B490" s="946"/>
      <c r="C490" s="947"/>
      <c r="D490" s="947"/>
      <c r="E490" s="947"/>
      <c r="F490" s="946"/>
      <c r="G490" s="946"/>
      <c r="H490" s="150"/>
      <c r="I490" s="151"/>
      <c r="J490" s="151"/>
      <c r="K490" s="151"/>
      <c r="L490" s="153">
        <f t="shared" si="35"/>
        <v>0</v>
      </c>
      <c r="M490" s="154">
        <f t="shared" si="36"/>
        <v>0</v>
      </c>
      <c r="N490" s="155">
        <f>+IF(OR($Q490=Parametres!$G$2,$Q490=Parametres!$G$3),I490,C490)</f>
        <v>0</v>
      </c>
      <c r="O490" s="1122">
        <f>+IF(OR($Q490=Parametres!$G$2,$Q490=Parametres!$G$3),J490,D490)</f>
        <v>0</v>
      </c>
      <c r="P490" s="155">
        <f>+IF(OR($Q490=Parametres!$G$2,$Q490=Parametres!$G$3),K490,E490)</f>
        <v>0</v>
      </c>
      <c r="Q490" s="154">
        <f t="shared" si="37"/>
        <v>0</v>
      </c>
      <c r="R490" s="153">
        <f t="shared" si="38"/>
        <v>0</v>
      </c>
      <c r="S490" s="154">
        <f t="shared" si="39"/>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 hidden="1" customHeight="1">
      <c r="A491" s="946"/>
      <c r="B491" s="946"/>
      <c r="C491" s="948"/>
      <c r="D491" s="948"/>
      <c r="E491" s="948"/>
      <c r="F491" s="946"/>
      <c r="G491" s="946"/>
      <c r="H491" s="948"/>
      <c r="I491" s="947"/>
      <c r="J491" s="947"/>
      <c r="K491" s="947"/>
      <c r="L491" s="153">
        <f t="shared" si="35"/>
        <v>0</v>
      </c>
      <c r="M491" s="154">
        <f t="shared" si="36"/>
        <v>0</v>
      </c>
      <c r="N491" s="155">
        <f>+IF(OR($Q491=Parametres!$G$2,$Q491=Parametres!$G$3),I491,C491)</f>
        <v>0</v>
      </c>
      <c r="O491" s="1122">
        <f>+IF(OR($Q491=Parametres!$G$2,$Q491=Parametres!$G$3),J491,D491)</f>
        <v>0</v>
      </c>
      <c r="P491" s="155">
        <f>+IF(OR($Q491=Parametres!$G$2,$Q491=Parametres!$G$3),K491,E491)</f>
        <v>0</v>
      </c>
      <c r="Q491" s="154">
        <f t="shared" si="37"/>
        <v>0</v>
      </c>
      <c r="R491" s="153">
        <f t="shared" si="38"/>
        <v>0</v>
      </c>
      <c r="S491" s="154">
        <f t="shared" si="39"/>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hidden="1" customHeight="1">
      <c r="A492" s="946"/>
      <c r="B492" s="946"/>
      <c r="C492" s="948"/>
      <c r="D492" s="948"/>
      <c r="E492" s="948"/>
      <c r="F492" s="946"/>
      <c r="G492" s="946"/>
      <c r="H492" s="948"/>
      <c r="I492" s="947"/>
      <c r="J492" s="947"/>
      <c r="K492" s="947"/>
      <c r="L492" s="153">
        <f t="shared" si="35"/>
        <v>0</v>
      </c>
      <c r="M492" s="154">
        <f t="shared" si="36"/>
        <v>0</v>
      </c>
      <c r="N492" s="155">
        <f>+IF(OR($Q492=Parametres!$G$2,$Q492=Parametres!$G$3),I492,C492)</f>
        <v>0</v>
      </c>
      <c r="O492" s="1122">
        <f>+IF(OR($Q492=Parametres!$G$2,$Q492=Parametres!$G$3),J492,D492)</f>
        <v>0</v>
      </c>
      <c r="P492" s="155">
        <f>+IF(OR($Q492=Parametres!$G$2,$Q492=Parametres!$G$3),K492,E492)</f>
        <v>0</v>
      </c>
      <c r="Q492" s="154">
        <f t="shared" si="37"/>
        <v>0</v>
      </c>
      <c r="R492" s="153">
        <f t="shared" si="38"/>
        <v>0</v>
      </c>
      <c r="S492" s="154">
        <f t="shared" si="39"/>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hidden="1" customHeight="1">
      <c r="A493" s="946"/>
      <c r="B493" s="946"/>
      <c r="C493" s="948"/>
      <c r="D493" s="948"/>
      <c r="E493" s="948"/>
      <c r="F493" s="946"/>
      <c r="G493" s="946"/>
      <c r="H493" s="948"/>
      <c r="I493" s="947"/>
      <c r="J493" s="947"/>
      <c r="K493" s="947"/>
      <c r="L493" s="153">
        <f t="shared" si="35"/>
        <v>0</v>
      </c>
      <c r="M493" s="154">
        <f t="shared" si="36"/>
        <v>0</v>
      </c>
      <c r="N493" s="155">
        <f>+IF(OR($Q493=Parametres!$G$2,$Q493=Parametres!$G$3),I493,C493)</f>
        <v>0</v>
      </c>
      <c r="O493" s="1120">
        <f>+IF(OR($Q493=Parametres!$G$2,$Q493=Parametres!$G$3),J493,D493)</f>
        <v>0</v>
      </c>
      <c r="P493" s="155">
        <f>+IF(OR($Q493=Parametres!$G$2,$Q493=Parametres!$G$3),K493,E493)</f>
        <v>0</v>
      </c>
      <c r="Q493" s="154">
        <f t="shared" si="37"/>
        <v>0</v>
      </c>
      <c r="R493" s="153">
        <f t="shared" si="38"/>
        <v>0</v>
      </c>
      <c r="S493" s="154">
        <f t="shared" si="39"/>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75" hidden="1" customHeight="1">
      <c r="A494" s="946"/>
      <c r="B494" s="946"/>
      <c r="C494" s="947"/>
      <c r="D494" s="947"/>
      <c r="E494" s="947"/>
      <c r="F494" s="946"/>
      <c r="G494" s="946"/>
      <c r="H494" s="150"/>
      <c r="I494" s="157"/>
      <c r="J494" s="157"/>
      <c r="K494" s="157"/>
      <c r="L494" s="153">
        <f t="shared" si="35"/>
        <v>0</v>
      </c>
      <c r="M494" s="154">
        <f t="shared" si="36"/>
        <v>0</v>
      </c>
      <c r="N494" s="155">
        <f>+IF(OR($Q494=Parametres!$G$2,$Q494=Parametres!$G$3),I494,C494)</f>
        <v>0</v>
      </c>
      <c r="O494" s="1123">
        <f>+IF(OR($Q494=Parametres!$G$2,$Q494=Parametres!$G$3),J494,D494)</f>
        <v>0</v>
      </c>
      <c r="P494" s="155">
        <f>+IF(OR($Q494=Parametres!$G$2,$Q494=Parametres!$G$3),K494,E494)</f>
        <v>0</v>
      </c>
      <c r="Q494" s="154">
        <f t="shared" si="37"/>
        <v>0</v>
      </c>
      <c r="R494" s="153">
        <f t="shared" si="38"/>
        <v>0</v>
      </c>
      <c r="S494" s="154">
        <f t="shared" si="39"/>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 hidden="1" customHeight="1">
      <c r="A495" s="946"/>
      <c r="B495" s="946"/>
      <c r="C495" s="947"/>
      <c r="D495" s="947"/>
      <c r="E495" s="947"/>
      <c r="F495" s="946"/>
      <c r="G495" s="946"/>
      <c r="H495" s="150"/>
      <c r="I495" s="157"/>
      <c r="J495" s="157"/>
      <c r="K495" s="157"/>
      <c r="L495" s="153">
        <f t="shared" si="35"/>
        <v>0</v>
      </c>
      <c r="M495" s="154">
        <f t="shared" si="36"/>
        <v>0</v>
      </c>
      <c r="N495" s="155">
        <f>+IF(OR($Q495=Parametres!$G$2,$Q495=Parametres!$G$3),I495,C495)</f>
        <v>0</v>
      </c>
      <c r="O495" s="1122">
        <f>+IF(OR($Q495=Parametres!$G$2,$Q495=Parametres!$G$3),J495,D495)</f>
        <v>0</v>
      </c>
      <c r="P495" s="155">
        <f>+IF(OR($Q495=Parametres!$G$2,$Q495=Parametres!$G$3),K495,E495)</f>
        <v>0</v>
      </c>
      <c r="Q495" s="154">
        <f t="shared" si="37"/>
        <v>0</v>
      </c>
      <c r="R495" s="153">
        <f t="shared" si="38"/>
        <v>0</v>
      </c>
      <c r="S495" s="154">
        <f t="shared" si="39"/>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hidden="1" customHeight="1">
      <c r="A496" s="946"/>
      <c r="B496" s="946"/>
      <c r="C496" s="947"/>
      <c r="D496" s="947"/>
      <c r="E496" s="947"/>
      <c r="F496" s="946"/>
      <c r="G496" s="946"/>
      <c r="H496" s="150"/>
      <c r="I496" s="157"/>
      <c r="J496" s="157"/>
      <c r="K496" s="157"/>
      <c r="L496" s="153">
        <f t="shared" si="35"/>
        <v>0</v>
      </c>
      <c r="M496" s="154">
        <f t="shared" si="36"/>
        <v>0</v>
      </c>
      <c r="N496" s="155">
        <f>+IF(OR($Q496=Parametres!$G$2,$Q496=Parametres!$G$3),I496,C496)</f>
        <v>0</v>
      </c>
      <c r="O496" s="1120">
        <f>+IF(OR($Q496=Parametres!$G$2,$Q496=Parametres!$G$3),J496,D496)</f>
        <v>0</v>
      </c>
      <c r="P496" s="155">
        <f>+IF(OR($Q496=Parametres!$G$2,$Q496=Parametres!$G$3),K496,E496)</f>
        <v>0</v>
      </c>
      <c r="Q496" s="154">
        <f t="shared" si="37"/>
        <v>0</v>
      </c>
      <c r="R496" s="153">
        <f t="shared" si="38"/>
        <v>0</v>
      </c>
      <c r="S496" s="154">
        <f t="shared" si="39"/>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hidden="1" customHeight="1">
      <c r="A497" s="946"/>
      <c r="B497" s="946"/>
      <c r="C497" s="947"/>
      <c r="D497" s="947"/>
      <c r="E497" s="947"/>
      <c r="F497" s="946"/>
      <c r="G497" s="946"/>
      <c r="H497" s="150"/>
      <c r="I497" s="157"/>
      <c r="J497" s="157"/>
      <c r="K497" s="157"/>
      <c r="L497" s="153">
        <f t="shared" si="35"/>
        <v>0</v>
      </c>
      <c r="M497" s="154">
        <f t="shared" si="36"/>
        <v>0</v>
      </c>
      <c r="N497" s="155">
        <f>+IF(OR($Q497=Parametres!$G$2,$Q497=Parametres!$G$3),I497,C497)</f>
        <v>0</v>
      </c>
      <c r="O497" s="1122">
        <f>+IF(OR($Q497=Parametres!$G$2,$Q497=Parametres!$G$3),J497,D497)</f>
        <v>0</v>
      </c>
      <c r="P497" s="155">
        <f>+IF(OR($Q497=Parametres!$G$2,$Q497=Parametres!$G$3),K497,E497)</f>
        <v>0</v>
      </c>
      <c r="Q497" s="154">
        <f t="shared" si="37"/>
        <v>0</v>
      </c>
      <c r="R497" s="153">
        <f t="shared" si="38"/>
        <v>0</v>
      </c>
      <c r="S497" s="154">
        <f t="shared" si="39"/>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hidden="1" customHeight="1">
      <c r="A498" s="946"/>
      <c r="B498" s="946"/>
      <c r="C498" s="947"/>
      <c r="D498" s="947"/>
      <c r="E498" s="947"/>
      <c r="F498" s="946"/>
      <c r="G498" s="946"/>
      <c r="H498" s="150"/>
      <c r="I498" s="157"/>
      <c r="J498" s="157"/>
      <c r="K498" s="157"/>
      <c r="L498" s="153">
        <f t="shared" si="35"/>
        <v>0</v>
      </c>
      <c r="M498" s="154">
        <f t="shared" si="36"/>
        <v>0</v>
      </c>
      <c r="N498" s="155">
        <f>+IF(OR($Q498=Parametres!$G$2,$Q498=Parametres!$G$3),I498,C498)</f>
        <v>0</v>
      </c>
      <c r="O498" s="1120">
        <f>+IF(OR($Q498=Parametres!$G$2,$Q498=Parametres!$G$3),J498,D498)</f>
        <v>0</v>
      </c>
      <c r="P498" s="155">
        <f>+IF(OR($Q498=Parametres!$G$2,$Q498=Parametres!$G$3),K498,E498)</f>
        <v>0</v>
      </c>
      <c r="Q498" s="154">
        <f t="shared" si="37"/>
        <v>0</v>
      </c>
      <c r="R498" s="153">
        <f t="shared" si="38"/>
        <v>0</v>
      </c>
      <c r="S498" s="154">
        <f t="shared" si="39"/>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75" hidden="1" customHeight="1">
      <c r="A499" s="946"/>
      <c r="B499" s="946"/>
      <c r="C499" s="947"/>
      <c r="D499" s="947"/>
      <c r="E499" s="947"/>
      <c r="F499" s="946"/>
      <c r="G499" s="946"/>
      <c r="H499" s="150"/>
      <c r="I499" s="157"/>
      <c r="J499" s="157"/>
      <c r="K499" s="157"/>
      <c r="L499" s="153">
        <f t="shared" si="35"/>
        <v>0</v>
      </c>
      <c r="M499" s="154">
        <f t="shared" si="36"/>
        <v>0</v>
      </c>
      <c r="N499" s="155">
        <f>+IF(OR($Q499=Parametres!$G$2,$Q499=Parametres!$G$3),I499,C499)</f>
        <v>0</v>
      </c>
      <c r="O499" s="1122">
        <f>+IF(OR($Q499=Parametres!$G$2,$Q499=Parametres!$G$3),J499,D499)</f>
        <v>0</v>
      </c>
      <c r="P499" s="155">
        <f>+IF(OR($Q499=Parametres!$G$2,$Q499=Parametres!$G$3),K499,E499)</f>
        <v>0</v>
      </c>
      <c r="Q499" s="154">
        <f t="shared" si="37"/>
        <v>0</v>
      </c>
      <c r="R499" s="153">
        <f t="shared" si="38"/>
        <v>0</v>
      </c>
      <c r="S499" s="154">
        <f t="shared" si="39"/>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 hidden="1" customHeight="1">
      <c r="A500" s="946"/>
      <c r="B500" s="946"/>
      <c r="C500" s="947"/>
      <c r="D500" s="947"/>
      <c r="E500" s="947"/>
      <c r="F500" s="946"/>
      <c r="G500" s="946"/>
      <c r="H500" s="150"/>
      <c r="I500" s="157"/>
      <c r="J500" s="157"/>
      <c r="K500" s="157"/>
      <c r="L500" s="153">
        <f t="shared" si="35"/>
        <v>0</v>
      </c>
      <c r="M500" s="154">
        <f t="shared" si="36"/>
        <v>0</v>
      </c>
      <c r="N500" s="155">
        <f>+IF(OR($Q500=Parametres!$G$2,$Q500=Parametres!$G$3),I500,C500)</f>
        <v>0</v>
      </c>
      <c r="O500" s="1122">
        <f>+IF(OR($Q500=Parametres!$G$2,$Q500=Parametres!$G$3),J500,D500)</f>
        <v>0</v>
      </c>
      <c r="P500" s="155">
        <f>+IF(OR($Q500=Parametres!$G$2,$Q500=Parametres!$G$3),K500,E500)</f>
        <v>0</v>
      </c>
      <c r="Q500" s="154">
        <f t="shared" si="37"/>
        <v>0</v>
      </c>
      <c r="R500" s="153">
        <f t="shared" si="38"/>
        <v>0</v>
      </c>
      <c r="S500" s="154">
        <f t="shared" si="39"/>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hidden="1" customHeight="1">
      <c r="A501" s="946"/>
      <c r="B501" s="946"/>
      <c r="C501" s="947"/>
      <c r="D501" s="947"/>
      <c r="E501" s="947"/>
      <c r="F501" s="946"/>
      <c r="G501" s="946"/>
      <c r="H501" s="150"/>
      <c r="I501" s="157"/>
      <c r="J501" s="157"/>
      <c r="K501" s="157"/>
      <c r="L501" s="153">
        <f t="shared" si="35"/>
        <v>0</v>
      </c>
      <c r="M501" s="154">
        <f t="shared" si="36"/>
        <v>0</v>
      </c>
      <c r="N501" s="155">
        <f>+IF(OR($Q501=Parametres!$G$2,$Q501=Parametres!$G$3),I501,C501)</f>
        <v>0</v>
      </c>
      <c r="O501" s="1123">
        <f>+IF(OR($Q501=Parametres!$G$2,$Q501=Parametres!$G$3),J501,D501)</f>
        <v>0</v>
      </c>
      <c r="P501" s="155">
        <f>+IF(OR($Q501=Parametres!$G$2,$Q501=Parametres!$G$3),K501,E501)</f>
        <v>0</v>
      </c>
      <c r="Q501" s="154">
        <f t="shared" si="37"/>
        <v>0</v>
      </c>
      <c r="R501" s="153">
        <f t="shared" si="38"/>
        <v>0</v>
      </c>
      <c r="S501" s="154">
        <f t="shared" si="39"/>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hidden="1" customHeight="1">
      <c r="A502" s="946"/>
      <c r="B502" s="946"/>
      <c r="C502" s="947"/>
      <c r="D502" s="947"/>
      <c r="E502" s="947"/>
      <c r="F502" s="946"/>
      <c r="G502" s="946"/>
      <c r="H502" s="150"/>
      <c r="I502" s="157"/>
      <c r="J502" s="157"/>
      <c r="K502" s="157"/>
      <c r="L502" s="153">
        <f t="shared" si="35"/>
        <v>0</v>
      </c>
      <c r="M502" s="154">
        <f t="shared" si="36"/>
        <v>0</v>
      </c>
      <c r="N502" s="155">
        <f>+IF(OR($Q502=Parametres!$G$2,$Q502=Parametres!$G$3),I502,C502)</f>
        <v>0</v>
      </c>
      <c r="O502" s="1122">
        <f>+IF(OR($Q502=Parametres!$G$2,$Q502=Parametres!$G$3),J502,D502)</f>
        <v>0</v>
      </c>
      <c r="P502" s="155">
        <f>+IF(OR($Q502=Parametres!$G$2,$Q502=Parametres!$G$3),K502,E502)</f>
        <v>0</v>
      </c>
      <c r="Q502" s="154">
        <f t="shared" si="37"/>
        <v>0</v>
      </c>
      <c r="R502" s="153">
        <f t="shared" si="38"/>
        <v>0</v>
      </c>
      <c r="S502" s="154">
        <f t="shared" si="39"/>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hidden="1" customHeight="1">
      <c r="A503" s="946"/>
      <c r="B503" s="946"/>
      <c r="C503" s="947"/>
      <c r="D503" s="947"/>
      <c r="E503" s="947"/>
      <c r="F503" s="946"/>
      <c r="G503" s="946"/>
      <c r="H503" s="150"/>
      <c r="I503" s="157"/>
      <c r="J503" s="157"/>
      <c r="K503" s="157"/>
      <c r="L503" s="153">
        <f t="shared" si="35"/>
        <v>0</v>
      </c>
      <c r="M503" s="154">
        <f t="shared" si="36"/>
        <v>0</v>
      </c>
      <c r="N503" s="155">
        <f>+IF(OR($Q503=Parametres!$G$2,$Q503=Parametres!$G$3),I503,C503)</f>
        <v>0</v>
      </c>
      <c r="O503" s="1123">
        <f>+IF(OR($Q503=Parametres!$G$2,$Q503=Parametres!$G$3),J503,D503)</f>
        <v>0</v>
      </c>
      <c r="P503" s="155">
        <f>+IF(OR($Q503=Parametres!$G$2,$Q503=Parametres!$G$3),K503,E503)</f>
        <v>0</v>
      </c>
      <c r="Q503" s="154">
        <f t="shared" si="37"/>
        <v>0</v>
      </c>
      <c r="R503" s="153">
        <f t="shared" si="38"/>
        <v>0</v>
      </c>
      <c r="S503" s="154">
        <f t="shared" si="39"/>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75" hidden="1" customHeight="1">
      <c r="A504" s="946"/>
      <c r="B504" s="946"/>
      <c r="C504" s="947"/>
      <c r="D504" s="947"/>
      <c r="E504" s="947"/>
      <c r="F504" s="946"/>
      <c r="G504" s="946"/>
      <c r="H504" s="150"/>
      <c r="I504" s="157"/>
      <c r="J504" s="157"/>
      <c r="K504" s="157"/>
      <c r="L504" s="153">
        <f t="shared" si="35"/>
        <v>0</v>
      </c>
      <c r="M504" s="154">
        <f t="shared" si="36"/>
        <v>0</v>
      </c>
      <c r="N504" s="155">
        <f>+IF(OR($Q504=Parametres!$G$2,$Q504=Parametres!$G$3),I504,C504)</f>
        <v>0</v>
      </c>
      <c r="O504" s="1122">
        <f>+IF(OR($Q504=Parametres!$G$2,$Q504=Parametres!$G$3),J504,D504)</f>
        <v>0</v>
      </c>
      <c r="P504" s="155">
        <f>+IF(OR($Q504=Parametres!$G$2,$Q504=Parametres!$G$3),K504,E504)</f>
        <v>0</v>
      </c>
      <c r="Q504" s="154">
        <f t="shared" si="37"/>
        <v>0</v>
      </c>
      <c r="R504" s="153">
        <f t="shared" si="38"/>
        <v>0</v>
      </c>
      <c r="S504" s="154">
        <f t="shared" si="39"/>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 hidden="1" customHeight="1">
      <c r="A505" s="946"/>
      <c r="B505" s="946"/>
      <c r="C505" s="947"/>
      <c r="D505" s="947"/>
      <c r="E505" s="947"/>
      <c r="F505" s="946"/>
      <c r="G505" s="946"/>
      <c r="H505" s="150"/>
      <c r="I505" s="157"/>
      <c r="J505" s="157"/>
      <c r="K505" s="157"/>
      <c r="L505" s="153">
        <f t="shared" si="35"/>
        <v>0</v>
      </c>
      <c r="M505" s="154">
        <f t="shared" si="36"/>
        <v>0</v>
      </c>
      <c r="N505" s="155">
        <f>+IF(OR($Q505=Parametres!$G$2,$Q505=Parametres!$G$3),I505,C505)</f>
        <v>0</v>
      </c>
      <c r="O505" s="1120">
        <f>+IF(OR($Q505=Parametres!$G$2,$Q505=Parametres!$G$3),J505,D505)</f>
        <v>0</v>
      </c>
      <c r="P505" s="155">
        <f>+IF(OR($Q505=Parametres!$G$2,$Q505=Parametres!$G$3),K505,E505)</f>
        <v>0</v>
      </c>
      <c r="Q505" s="154">
        <f t="shared" si="37"/>
        <v>0</v>
      </c>
      <c r="R505" s="153">
        <f t="shared" si="38"/>
        <v>0</v>
      </c>
      <c r="S505" s="154">
        <f t="shared" si="39"/>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hidden="1" customHeight="1">
      <c r="A506" s="946"/>
      <c r="B506" s="946"/>
      <c r="C506" s="947"/>
      <c r="D506" s="947"/>
      <c r="E506" s="947"/>
      <c r="F506" s="946"/>
      <c r="G506" s="946"/>
      <c r="H506" s="150"/>
      <c r="I506" s="157"/>
      <c r="J506" s="157"/>
      <c r="K506" s="157"/>
      <c r="L506" s="153">
        <f t="shared" si="35"/>
        <v>0</v>
      </c>
      <c r="M506" s="154">
        <f t="shared" si="36"/>
        <v>0</v>
      </c>
      <c r="N506" s="155">
        <f>+IF(OR($Q506=Parametres!$G$2,$Q506=Parametres!$G$3),I506,C506)</f>
        <v>0</v>
      </c>
      <c r="O506" s="1123">
        <f>+IF(OR($Q506=Parametres!$G$2,$Q506=Parametres!$G$3),J506,D506)</f>
        <v>0</v>
      </c>
      <c r="P506" s="155">
        <f>+IF(OR($Q506=Parametres!$G$2,$Q506=Parametres!$G$3),K506,E506)</f>
        <v>0</v>
      </c>
      <c r="Q506" s="154">
        <f t="shared" si="37"/>
        <v>0</v>
      </c>
      <c r="R506" s="153">
        <f t="shared" si="38"/>
        <v>0</v>
      </c>
      <c r="S506" s="154">
        <f t="shared" si="39"/>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hidden="1" customHeight="1">
      <c r="A507" s="946"/>
      <c r="B507" s="946"/>
      <c r="C507" s="947"/>
      <c r="D507" s="947"/>
      <c r="E507" s="947"/>
      <c r="F507" s="946"/>
      <c r="G507" s="946"/>
      <c r="H507" s="150"/>
      <c r="I507" s="152"/>
      <c r="J507" s="152"/>
      <c r="K507" s="152"/>
      <c r="L507" s="153">
        <f t="shared" si="35"/>
        <v>0</v>
      </c>
      <c r="M507" s="154">
        <f t="shared" si="36"/>
        <v>0</v>
      </c>
      <c r="N507" s="155">
        <f>+IF(OR($Q507=Parametres!$G$2,$Q507=Parametres!$G$3),I507,C507)</f>
        <v>0</v>
      </c>
      <c r="O507" s="1122">
        <f>+IF(OR($Q507=Parametres!$G$2,$Q507=Parametres!$G$3),J507,D507)</f>
        <v>0</v>
      </c>
      <c r="P507" s="155">
        <f>+IF(OR($Q507=Parametres!$G$2,$Q507=Parametres!$G$3),K507,E507)</f>
        <v>0</v>
      </c>
      <c r="Q507" s="154">
        <f t="shared" si="37"/>
        <v>0</v>
      </c>
      <c r="R507" s="153">
        <f t="shared" si="38"/>
        <v>0</v>
      </c>
      <c r="S507" s="154">
        <f t="shared" si="39"/>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75" hidden="1" customHeight="1">
      <c r="A508" s="946"/>
      <c r="B508" s="946"/>
      <c r="C508" s="947"/>
      <c r="D508" s="947"/>
      <c r="E508" s="947"/>
      <c r="F508" s="946"/>
      <c r="G508" s="946"/>
      <c r="H508" s="150"/>
      <c r="I508" s="157"/>
      <c r="J508" s="157"/>
      <c r="K508" s="157"/>
      <c r="L508" s="153">
        <f t="shared" si="35"/>
        <v>0</v>
      </c>
      <c r="M508" s="154">
        <f t="shared" si="36"/>
        <v>0</v>
      </c>
      <c r="N508" s="155">
        <f>+IF(OR($Q508=Parametres!$G$2,$Q508=Parametres!$G$3),I508,C508)</f>
        <v>0</v>
      </c>
      <c r="O508" s="1120">
        <f>+IF(OR($Q508=Parametres!$G$2,$Q508=Parametres!$G$3),J508,D508)</f>
        <v>0</v>
      </c>
      <c r="P508" s="155">
        <f>+IF(OR($Q508=Parametres!$G$2,$Q508=Parametres!$G$3),K508,E508)</f>
        <v>0</v>
      </c>
      <c r="Q508" s="154">
        <f t="shared" si="37"/>
        <v>0</v>
      </c>
      <c r="R508" s="153">
        <f t="shared" si="38"/>
        <v>0</v>
      </c>
      <c r="S508" s="154">
        <f t="shared" si="39"/>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 hidden="1" customHeight="1">
      <c r="A509" s="946"/>
      <c r="B509" s="946"/>
      <c r="C509" s="947"/>
      <c r="D509" s="947"/>
      <c r="E509" s="947"/>
      <c r="F509" s="946"/>
      <c r="G509" s="946"/>
      <c r="H509" s="150"/>
      <c r="I509" s="157"/>
      <c r="J509" s="157"/>
      <c r="K509" s="157"/>
      <c r="L509" s="153">
        <f t="shared" si="35"/>
        <v>0</v>
      </c>
      <c r="M509" s="154">
        <f t="shared" si="36"/>
        <v>0</v>
      </c>
      <c r="N509" s="155">
        <f>+IF(OR($Q509=Parametres!$G$2,$Q509=Parametres!$G$3),I509,C509)</f>
        <v>0</v>
      </c>
      <c r="O509" s="1122">
        <f>+IF(OR($Q509=Parametres!$G$2,$Q509=Parametres!$G$3),J509,D509)</f>
        <v>0</v>
      </c>
      <c r="P509" s="155">
        <f>+IF(OR($Q509=Parametres!$G$2,$Q509=Parametres!$G$3),K509,E509)</f>
        <v>0</v>
      </c>
      <c r="Q509" s="154">
        <f t="shared" si="37"/>
        <v>0</v>
      </c>
      <c r="R509" s="153">
        <f t="shared" si="38"/>
        <v>0</v>
      </c>
      <c r="S509" s="154">
        <f t="shared" si="39"/>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hidden="1" customHeight="1">
      <c r="A510" s="946"/>
      <c r="B510" s="946"/>
      <c r="C510" s="947"/>
      <c r="D510" s="947"/>
      <c r="E510" s="947"/>
      <c r="F510" s="946"/>
      <c r="G510" s="946"/>
      <c r="H510" s="150"/>
      <c r="I510" s="157"/>
      <c r="J510" s="157"/>
      <c r="K510" s="157"/>
      <c r="L510" s="153">
        <f t="shared" si="35"/>
        <v>0</v>
      </c>
      <c r="M510" s="154">
        <f t="shared" si="36"/>
        <v>0</v>
      </c>
      <c r="N510" s="155">
        <f>+IF(OR($Q510=Parametres!$G$2,$Q510=Parametres!$G$3),I510,C510)</f>
        <v>0</v>
      </c>
      <c r="O510" s="1122">
        <f>+IF(OR($Q510=Parametres!$G$2,$Q510=Parametres!$G$3),J510,D510)</f>
        <v>0</v>
      </c>
      <c r="P510" s="155">
        <f>+IF(OR($Q510=Parametres!$G$2,$Q510=Parametres!$G$3),K510,E510)</f>
        <v>0</v>
      </c>
      <c r="Q510" s="154">
        <f t="shared" si="37"/>
        <v>0</v>
      </c>
      <c r="R510" s="153">
        <f t="shared" si="38"/>
        <v>0</v>
      </c>
      <c r="S510" s="154">
        <f t="shared" si="39"/>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hidden="1" customHeight="1">
      <c r="A511" s="150"/>
      <c r="B511" s="150"/>
      <c r="C511" s="151"/>
      <c r="D511" s="151"/>
      <c r="E511" s="151"/>
      <c r="F511" s="150"/>
      <c r="G511" s="150"/>
      <c r="H511" s="150"/>
      <c r="I511" s="157"/>
      <c r="J511" s="157"/>
      <c r="K511" s="157"/>
      <c r="L511" s="153">
        <f t="shared" si="35"/>
        <v>0</v>
      </c>
      <c r="M511" s="154">
        <f t="shared" si="36"/>
        <v>0</v>
      </c>
      <c r="N511" s="155">
        <f>+IF(OR($Q511=Parametres!$G$2,$Q511=Parametres!$G$3),I511,C511)</f>
        <v>0</v>
      </c>
      <c r="O511" s="1122">
        <f>+IF(OR($Q511=Parametres!$G$2,$Q511=Parametres!$G$3),J511,D511)</f>
        <v>0</v>
      </c>
      <c r="P511" s="155">
        <f>+IF(OR($Q511=Parametres!$G$2,$Q511=Parametres!$G$3),K511,E511)</f>
        <v>0</v>
      </c>
      <c r="Q511" s="154">
        <f t="shared" si="37"/>
        <v>0</v>
      </c>
      <c r="R511" s="153">
        <f t="shared" si="38"/>
        <v>0</v>
      </c>
      <c r="S511" s="154">
        <f t="shared" si="39"/>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75" hidden="1" customHeight="1">
      <c r="A512" s="150"/>
      <c r="B512" s="150"/>
      <c r="C512" s="151"/>
      <c r="D512" s="151"/>
      <c r="E512" s="151"/>
      <c r="F512" s="150"/>
      <c r="G512" s="150"/>
      <c r="H512" s="150"/>
      <c r="I512" s="157"/>
      <c r="J512" s="157"/>
      <c r="K512" s="157"/>
      <c r="L512" s="153">
        <f t="shared" si="35"/>
        <v>0</v>
      </c>
      <c r="M512" s="154">
        <f t="shared" si="36"/>
        <v>0</v>
      </c>
      <c r="N512" s="155">
        <f>+IF(OR($Q512=Parametres!$G$2,$Q512=Parametres!$G$3),I512,C512)</f>
        <v>0</v>
      </c>
      <c r="O512" s="1122">
        <f>+IF(OR($Q512=Parametres!$G$2,$Q512=Parametres!$G$3),J512,D512)</f>
        <v>0</v>
      </c>
      <c r="P512" s="155">
        <f>+IF(OR($Q512=Parametres!$G$2,$Q512=Parametres!$G$3),K512,E512)</f>
        <v>0</v>
      </c>
      <c r="Q512" s="154">
        <f t="shared" si="37"/>
        <v>0</v>
      </c>
      <c r="R512" s="153">
        <f t="shared" si="38"/>
        <v>0</v>
      </c>
      <c r="S512" s="154">
        <f t="shared" si="39"/>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 hidden="1" customHeight="1">
      <c r="A513" s="150"/>
      <c r="B513" s="150"/>
      <c r="C513" s="151"/>
      <c r="D513" s="151"/>
      <c r="E513" s="151"/>
      <c r="F513" s="150"/>
      <c r="G513" s="150"/>
      <c r="H513" s="150"/>
      <c r="I513" s="157"/>
      <c r="J513" s="157"/>
      <c r="K513" s="157"/>
      <c r="L513" s="153">
        <f t="shared" si="35"/>
        <v>0</v>
      </c>
      <c r="M513" s="154">
        <f t="shared" si="36"/>
        <v>0</v>
      </c>
      <c r="N513" s="155">
        <f>+IF(OR($Q513=Parametres!$G$2,$Q513=Parametres!$G$3),I513,C513)</f>
        <v>0</v>
      </c>
      <c r="O513" s="1122">
        <f>+IF(OR($Q513=Parametres!$G$2,$Q513=Parametres!$G$3),J513,D513)</f>
        <v>0</v>
      </c>
      <c r="P513" s="155">
        <f>+IF(OR($Q513=Parametres!$G$2,$Q513=Parametres!$G$3),K513,E513)</f>
        <v>0</v>
      </c>
      <c r="Q513" s="154">
        <f t="shared" si="37"/>
        <v>0</v>
      </c>
      <c r="R513" s="153">
        <f t="shared" si="38"/>
        <v>0</v>
      </c>
      <c r="S513" s="154">
        <f t="shared" si="39"/>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hidden="1" customHeight="1">
      <c r="A514" s="150"/>
      <c r="B514" s="150"/>
      <c r="C514" s="151"/>
      <c r="D514" s="151"/>
      <c r="E514" s="151"/>
      <c r="F514" s="150"/>
      <c r="G514" s="150"/>
      <c r="H514" s="150"/>
      <c r="I514" s="157"/>
      <c r="J514" s="157"/>
      <c r="K514" s="157"/>
      <c r="L514" s="153">
        <f t="shared" ref="L514:L577" si="40">+B514</f>
        <v>0</v>
      </c>
      <c r="M514" s="154">
        <f t="shared" ref="M514:M577" si="41">+A514</f>
        <v>0</v>
      </c>
      <c r="N514" s="155">
        <f>+IF(OR($Q514=Parametres!$G$2,$Q514=Parametres!$G$3),I514,C514)</f>
        <v>0</v>
      </c>
      <c r="O514" s="1122">
        <f>+IF(OR($Q514=Parametres!$G$2,$Q514=Parametres!$G$3),J514,D514)</f>
        <v>0</v>
      </c>
      <c r="P514" s="155">
        <f>+IF(OR($Q514=Parametres!$G$2,$Q514=Parametres!$G$3),K514,E514)</f>
        <v>0</v>
      </c>
      <c r="Q514" s="154">
        <f t="shared" ref="Q514:Q577" si="42">+F514</f>
        <v>0</v>
      </c>
      <c r="R514" s="153">
        <f t="shared" ref="R514:R577" si="43">+G514</f>
        <v>0</v>
      </c>
      <c r="S514" s="154">
        <f t="shared" ref="S514:S577" si="44">+H514</f>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hidden="1" customHeight="1">
      <c r="A515" s="150"/>
      <c r="B515" s="150"/>
      <c r="C515" s="151"/>
      <c r="D515" s="151"/>
      <c r="E515" s="151"/>
      <c r="F515" s="150"/>
      <c r="G515" s="150"/>
      <c r="H515" s="150"/>
      <c r="I515" s="157"/>
      <c r="J515" s="157"/>
      <c r="K515" s="157"/>
      <c r="L515" s="153">
        <f t="shared" si="40"/>
        <v>0</v>
      </c>
      <c r="M515" s="154">
        <f t="shared" si="41"/>
        <v>0</v>
      </c>
      <c r="N515" s="155">
        <f>+IF(OR($Q515=Parametres!$G$2,$Q515=Parametres!$G$3),I515,C515)</f>
        <v>0</v>
      </c>
      <c r="O515" s="1122">
        <f>+IF(OR($Q515=Parametres!$G$2,$Q515=Parametres!$G$3),J515,D515)</f>
        <v>0</v>
      </c>
      <c r="P515" s="155">
        <f>+IF(OR($Q515=Parametres!$G$2,$Q515=Parametres!$G$3),K515,E515)</f>
        <v>0</v>
      </c>
      <c r="Q515" s="154">
        <f t="shared" si="42"/>
        <v>0</v>
      </c>
      <c r="R515" s="153">
        <f t="shared" si="43"/>
        <v>0</v>
      </c>
      <c r="S515" s="154">
        <f t="shared" si="44"/>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75" hidden="1" customHeight="1">
      <c r="A516" s="150"/>
      <c r="B516" s="150"/>
      <c r="C516" s="151"/>
      <c r="D516" s="151"/>
      <c r="E516" s="151"/>
      <c r="F516" s="150"/>
      <c r="G516" s="150"/>
      <c r="H516" s="150"/>
      <c r="I516" s="157"/>
      <c r="J516" s="157"/>
      <c r="K516" s="157"/>
      <c r="L516" s="153">
        <f t="shared" si="40"/>
        <v>0</v>
      </c>
      <c r="M516" s="154">
        <f t="shared" si="41"/>
        <v>0</v>
      </c>
      <c r="N516" s="155">
        <f>+IF(OR($Q516=Parametres!$G$2,$Q516=Parametres!$G$3),I516,C516)</f>
        <v>0</v>
      </c>
      <c r="O516" s="1122">
        <f>+IF(OR($Q516=Parametres!$G$2,$Q516=Parametres!$G$3),J516,D516)</f>
        <v>0</v>
      </c>
      <c r="P516" s="155">
        <f>+IF(OR($Q516=Parametres!$G$2,$Q516=Parametres!$G$3),K516,E516)</f>
        <v>0</v>
      </c>
      <c r="Q516" s="154">
        <f t="shared" si="42"/>
        <v>0</v>
      </c>
      <c r="R516" s="153">
        <f t="shared" si="43"/>
        <v>0</v>
      </c>
      <c r="S516" s="154">
        <f t="shared" si="44"/>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 hidden="1" customHeight="1">
      <c r="A517" s="150"/>
      <c r="B517" s="150"/>
      <c r="C517" s="151"/>
      <c r="D517" s="151"/>
      <c r="E517" s="151"/>
      <c r="F517" s="150"/>
      <c r="G517" s="150"/>
      <c r="H517" s="150"/>
      <c r="I517" s="157"/>
      <c r="J517" s="157"/>
      <c r="K517" s="157"/>
      <c r="L517" s="153">
        <f t="shared" si="40"/>
        <v>0</v>
      </c>
      <c r="M517" s="154">
        <f t="shared" si="41"/>
        <v>0</v>
      </c>
      <c r="N517" s="155">
        <f>+IF(OR($Q517=Parametres!$G$2,$Q517=Parametres!$G$3),I517,C517)</f>
        <v>0</v>
      </c>
      <c r="O517" s="1122">
        <f>+IF(OR($Q517=Parametres!$G$2,$Q517=Parametres!$G$3),J517,D517)</f>
        <v>0</v>
      </c>
      <c r="P517" s="155">
        <f>+IF(OR($Q517=Parametres!$G$2,$Q517=Parametres!$G$3),K517,E517)</f>
        <v>0</v>
      </c>
      <c r="Q517" s="154">
        <f t="shared" si="42"/>
        <v>0</v>
      </c>
      <c r="R517" s="153">
        <f t="shared" si="43"/>
        <v>0</v>
      </c>
      <c r="S517" s="154">
        <f t="shared" si="44"/>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hidden="1" customHeight="1">
      <c r="A518" s="150"/>
      <c r="B518" s="150"/>
      <c r="C518" s="151"/>
      <c r="D518" s="151"/>
      <c r="E518" s="151"/>
      <c r="F518" s="150"/>
      <c r="G518" s="150"/>
      <c r="H518" s="150"/>
      <c r="I518" s="157"/>
      <c r="J518" s="157"/>
      <c r="K518" s="157"/>
      <c r="L518" s="153">
        <f t="shared" si="40"/>
        <v>0</v>
      </c>
      <c r="M518" s="154">
        <f t="shared" si="41"/>
        <v>0</v>
      </c>
      <c r="N518" s="155">
        <f>+IF(OR($Q518=Parametres!$G$2,$Q518=Parametres!$G$3),I518,C518)</f>
        <v>0</v>
      </c>
      <c r="O518" s="1122">
        <f>+IF(OR($Q518=Parametres!$G$2,$Q518=Parametres!$G$3),J518,D518)</f>
        <v>0</v>
      </c>
      <c r="P518" s="155">
        <f>+IF(OR($Q518=Parametres!$G$2,$Q518=Parametres!$G$3),K518,E518)</f>
        <v>0</v>
      </c>
      <c r="Q518" s="154">
        <f t="shared" si="42"/>
        <v>0</v>
      </c>
      <c r="R518" s="153">
        <f t="shared" si="43"/>
        <v>0</v>
      </c>
      <c r="S518" s="154">
        <f t="shared" si="44"/>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hidden="1" customHeight="1">
      <c r="A519" s="150"/>
      <c r="B519" s="150"/>
      <c r="C519" s="151"/>
      <c r="D519" s="151"/>
      <c r="E519" s="151"/>
      <c r="F519" s="150"/>
      <c r="G519" s="150"/>
      <c r="H519" s="150"/>
      <c r="I519" s="157"/>
      <c r="J519" s="157"/>
      <c r="K519" s="157"/>
      <c r="L519" s="153">
        <f t="shared" si="40"/>
        <v>0</v>
      </c>
      <c r="M519" s="154">
        <f t="shared" si="41"/>
        <v>0</v>
      </c>
      <c r="N519" s="155">
        <f>+IF(OR($Q519=Parametres!$G$2,$Q519=Parametres!$G$3),I519,C519)</f>
        <v>0</v>
      </c>
      <c r="O519" s="1122">
        <f>+IF(OR($Q519=Parametres!$G$2,$Q519=Parametres!$G$3),J519,D519)</f>
        <v>0</v>
      </c>
      <c r="P519" s="155">
        <f>+IF(OR($Q519=Parametres!$G$2,$Q519=Parametres!$G$3),K519,E519)</f>
        <v>0</v>
      </c>
      <c r="Q519" s="154">
        <f t="shared" si="42"/>
        <v>0</v>
      </c>
      <c r="R519" s="153">
        <f t="shared" si="43"/>
        <v>0</v>
      </c>
      <c r="S519" s="154">
        <f t="shared" si="44"/>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75" hidden="1" customHeight="1">
      <c r="A520" s="150"/>
      <c r="B520" s="150"/>
      <c r="C520" s="151"/>
      <c r="D520" s="151"/>
      <c r="E520" s="151"/>
      <c r="F520" s="150"/>
      <c r="G520" s="150"/>
      <c r="H520" s="150"/>
      <c r="I520" s="157"/>
      <c r="J520" s="157"/>
      <c r="K520" s="157"/>
      <c r="L520" s="153">
        <f t="shared" si="40"/>
        <v>0</v>
      </c>
      <c r="M520" s="154">
        <f t="shared" si="41"/>
        <v>0</v>
      </c>
      <c r="N520" s="155">
        <f>+IF(OR($Q520=Parametres!$G$2,$Q520=Parametres!$G$3),I520,C520)</f>
        <v>0</v>
      </c>
      <c r="O520" s="1122">
        <f>+IF(OR($Q520=Parametres!$G$2,$Q520=Parametres!$G$3),J520,D520)</f>
        <v>0</v>
      </c>
      <c r="P520" s="155">
        <f>+IF(OR($Q520=Parametres!$G$2,$Q520=Parametres!$G$3),K520,E520)</f>
        <v>0</v>
      </c>
      <c r="Q520" s="154">
        <f t="shared" si="42"/>
        <v>0</v>
      </c>
      <c r="R520" s="153">
        <f t="shared" si="43"/>
        <v>0</v>
      </c>
      <c r="S520" s="154">
        <f t="shared" si="44"/>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 hidden="1" customHeight="1">
      <c r="A521" s="150"/>
      <c r="B521" s="150"/>
      <c r="C521" s="151"/>
      <c r="D521" s="151"/>
      <c r="E521" s="151"/>
      <c r="F521" s="150"/>
      <c r="G521" s="150"/>
      <c r="H521" s="150"/>
      <c r="I521" s="157"/>
      <c r="J521" s="157"/>
      <c r="K521" s="157"/>
      <c r="L521" s="153">
        <f t="shared" si="40"/>
        <v>0</v>
      </c>
      <c r="M521" s="154">
        <f t="shared" si="41"/>
        <v>0</v>
      </c>
      <c r="N521" s="155">
        <f>+IF(OR($Q521=Parametres!$G$2,$Q521=Parametres!$G$3),I521,C521)</f>
        <v>0</v>
      </c>
      <c r="O521" s="1122">
        <f>+IF(OR($Q521=Parametres!$G$2,$Q521=Parametres!$G$3),J521,D521)</f>
        <v>0</v>
      </c>
      <c r="P521" s="155">
        <f>+IF(OR($Q521=Parametres!$G$2,$Q521=Parametres!$G$3),K521,E521)</f>
        <v>0</v>
      </c>
      <c r="Q521" s="154">
        <f t="shared" si="42"/>
        <v>0</v>
      </c>
      <c r="R521" s="153">
        <f t="shared" si="43"/>
        <v>0</v>
      </c>
      <c r="S521" s="154">
        <f t="shared" si="44"/>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hidden="1" customHeight="1">
      <c r="A522" s="150"/>
      <c r="B522" s="150"/>
      <c r="C522" s="151"/>
      <c r="D522" s="151"/>
      <c r="E522" s="151"/>
      <c r="F522" s="150"/>
      <c r="G522" s="150"/>
      <c r="H522" s="150"/>
      <c r="I522" s="157"/>
      <c r="J522" s="157"/>
      <c r="K522" s="157"/>
      <c r="L522" s="153">
        <f t="shared" si="40"/>
        <v>0</v>
      </c>
      <c r="M522" s="154">
        <f t="shared" si="41"/>
        <v>0</v>
      </c>
      <c r="N522" s="155">
        <f>+IF(OR($Q522=Parametres!$G$2,$Q522=Parametres!$G$3),I522,C522)</f>
        <v>0</v>
      </c>
      <c r="O522" s="1122">
        <f>+IF(OR($Q522=Parametres!$G$2,$Q522=Parametres!$G$3),J522,D522)</f>
        <v>0</v>
      </c>
      <c r="P522" s="155">
        <f>+IF(OR($Q522=Parametres!$G$2,$Q522=Parametres!$G$3),K522,E522)</f>
        <v>0</v>
      </c>
      <c r="Q522" s="154">
        <f t="shared" si="42"/>
        <v>0</v>
      </c>
      <c r="R522" s="153">
        <f t="shared" si="43"/>
        <v>0</v>
      </c>
      <c r="S522" s="154">
        <f t="shared" si="44"/>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hidden="1" customHeight="1">
      <c r="A523" s="150"/>
      <c r="B523" s="150"/>
      <c r="C523" s="151"/>
      <c r="D523" s="151"/>
      <c r="E523" s="151"/>
      <c r="F523" s="150"/>
      <c r="G523" s="150"/>
      <c r="H523" s="150"/>
      <c r="I523" s="157"/>
      <c r="J523" s="157"/>
      <c r="K523" s="157"/>
      <c r="L523" s="153">
        <f t="shared" si="40"/>
        <v>0</v>
      </c>
      <c r="M523" s="154">
        <f t="shared" si="41"/>
        <v>0</v>
      </c>
      <c r="N523" s="155">
        <f>+IF(OR($Q523=Parametres!$G$2,$Q523=Parametres!$G$3),I523,C523)</f>
        <v>0</v>
      </c>
      <c r="O523" s="1122">
        <f>+IF(OR($Q523=Parametres!$G$2,$Q523=Parametres!$G$3),J523,D523)</f>
        <v>0</v>
      </c>
      <c r="P523" s="155">
        <f>+IF(OR($Q523=Parametres!$G$2,$Q523=Parametres!$G$3),K523,E523)</f>
        <v>0</v>
      </c>
      <c r="Q523" s="154">
        <f t="shared" si="42"/>
        <v>0</v>
      </c>
      <c r="R523" s="153">
        <f t="shared" si="43"/>
        <v>0</v>
      </c>
      <c r="S523" s="154">
        <f t="shared" si="44"/>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hidden="1" customHeight="1">
      <c r="A524" s="150"/>
      <c r="B524" s="150"/>
      <c r="C524" s="151"/>
      <c r="D524" s="151"/>
      <c r="E524" s="151"/>
      <c r="F524" s="150"/>
      <c r="G524" s="150"/>
      <c r="H524" s="150"/>
      <c r="I524" s="157"/>
      <c r="J524" s="157"/>
      <c r="K524" s="157"/>
      <c r="L524" s="153">
        <f t="shared" si="40"/>
        <v>0</v>
      </c>
      <c r="M524" s="154">
        <f t="shared" si="41"/>
        <v>0</v>
      </c>
      <c r="N524" s="155">
        <f>+IF(OR($Q524=Parametres!$G$2,$Q524=Parametres!$G$3),I524,C524)</f>
        <v>0</v>
      </c>
      <c r="O524" s="1122">
        <f>+IF(OR($Q524=Parametres!$G$2,$Q524=Parametres!$G$3),J524,D524)</f>
        <v>0</v>
      </c>
      <c r="P524" s="155">
        <f>+IF(OR($Q524=Parametres!$G$2,$Q524=Parametres!$G$3),K524,E524)</f>
        <v>0</v>
      </c>
      <c r="Q524" s="154">
        <f t="shared" si="42"/>
        <v>0</v>
      </c>
      <c r="R524" s="153">
        <f t="shared" si="43"/>
        <v>0</v>
      </c>
      <c r="S524" s="154">
        <f t="shared" si="44"/>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75" hidden="1" customHeight="1">
      <c r="A525" s="150"/>
      <c r="B525" s="150"/>
      <c r="C525" s="151"/>
      <c r="D525" s="151"/>
      <c r="E525" s="151"/>
      <c r="F525" s="150"/>
      <c r="G525" s="150"/>
      <c r="H525" s="150"/>
      <c r="I525" s="157"/>
      <c r="J525" s="157"/>
      <c r="K525" s="157"/>
      <c r="L525" s="153">
        <f t="shared" si="40"/>
        <v>0</v>
      </c>
      <c r="M525" s="154">
        <f t="shared" si="41"/>
        <v>0</v>
      </c>
      <c r="N525" s="155">
        <f>+IF(OR($Q525=Parametres!$G$2,$Q525=Parametres!$G$3),I525,C525)</f>
        <v>0</v>
      </c>
      <c r="O525" s="1122">
        <f>+IF(OR($Q525=Parametres!$G$2,$Q525=Parametres!$G$3),J525,D525)</f>
        <v>0</v>
      </c>
      <c r="P525" s="155">
        <f>+IF(OR($Q525=Parametres!$G$2,$Q525=Parametres!$G$3),K525,E525)</f>
        <v>0</v>
      </c>
      <c r="Q525" s="154">
        <f t="shared" si="42"/>
        <v>0</v>
      </c>
      <c r="R525" s="153">
        <f t="shared" si="43"/>
        <v>0</v>
      </c>
      <c r="S525" s="154">
        <f t="shared" si="44"/>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 hidden="1" customHeight="1">
      <c r="A526" s="150"/>
      <c r="B526" s="150"/>
      <c r="C526" s="151"/>
      <c r="D526" s="151"/>
      <c r="E526" s="151"/>
      <c r="F526" s="150"/>
      <c r="G526" s="150"/>
      <c r="H526" s="150"/>
      <c r="I526" s="157"/>
      <c r="J526" s="157"/>
      <c r="K526" s="157"/>
      <c r="L526" s="153">
        <f t="shared" si="40"/>
        <v>0</v>
      </c>
      <c r="M526" s="154">
        <f t="shared" si="41"/>
        <v>0</v>
      </c>
      <c r="N526" s="155">
        <f>+IF(OR($Q526=Parametres!$G$2,$Q526=Parametres!$G$3),I526,C526)</f>
        <v>0</v>
      </c>
      <c r="O526" s="1122">
        <f>+IF(OR($Q526=Parametres!$G$2,$Q526=Parametres!$G$3),J526,D526)</f>
        <v>0</v>
      </c>
      <c r="P526" s="155">
        <f>+IF(OR($Q526=Parametres!$G$2,$Q526=Parametres!$G$3),K526,E526)</f>
        <v>0</v>
      </c>
      <c r="Q526" s="154">
        <f t="shared" si="42"/>
        <v>0</v>
      </c>
      <c r="R526" s="153">
        <f t="shared" si="43"/>
        <v>0</v>
      </c>
      <c r="S526" s="154">
        <f t="shared" si="44"/>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hidden="1" customHeight="1">
      <c r="A527" s="150"/>
      <c r="B527" s="150"/>
      <c r="C527" s="151"/>
      <c r="D527" s="151"/>
      <c r="E527" s="151"/>
      <c r="F527" s="150"/>
      <c r="G527" s="150"/>
      <c r="H527" s="150"/>
      <c r="I527" s="157"/>
      <c r="J527" s="157"/>
      <c r="K527" s="157"/>
      <c r="L527" s="153">
        <f t="shared" si="40"/>
        <v>0</v>
      </c>
      <c r="M527" s="154">
        <f t="shared" si="41"/>
        <v>0</v>
      </c>
      <c r="N527" s="155">
        <f>+IF(OR($Q527=Parametres!$G$2,$Q527=Parametres!$G$3),I527,C527)</f>
        <v>0</v>
      </c>
      <c r="O527" s="1122">
        <f>+IF(OR($Q527=Parametres!$G$2,$Q527=Parametres!$G$3),J527,D527)</f>
        <v>0</v>
      </c>
      <c r="P527" s="155">
        <f>+IF(OR($Q527=Parametres!$G$2,$Q527=Parametres!$G$3),K527,E527)</f>
        <v>0</v>
      </c>
      <c r="Q527" s="154">
        <f t="shared" si="42"/>
        <v>0</v>
      </c>
      <c r="R527" s="153">
        <f t="shared" si="43"/>
        <v>0</v>
      </c>
      <c r="S527" s="154">
        <f t="shared" si="44"/>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hidden="1" customHeight="1">
      <c r="A528" s="150"/>
      <c r="B528" s="150"/>
      <c r="C528" s="151"/>
      <c r="D528" s="151"/>
      <c r="E528" s="151"/>
      <c r="F528" s="150"/>
      <c r="G528" s="150"/>
      <c r="H528" s="150"/>
      <c r="I528" s="157"/>
      <c r="J528" s="157"/>
      <c r="K528" s="157"/>
      <c r="L528" s="153">
        <f t="shared" si="40"/>
        <v>0</v>
      </c>
      <c r="M528" s="154">
        <f t="shared" si="41"/>
        <v>0</v>
      </c>
      <c r="N528" s="155">
        <f>+IF(OR($Q528=Parametres!$G$2,$Q528=Parametres!$G$3),I528,C528)</f>
        <v>0</v>
      </c>
      <c r="O528" s="1122">
        <f>+IF(OR($Q528=Parametres!$G$2,$Q528=Parametres!$G$3),J528,D528)</f>
        <v>0</v>
      </c>
      <c r="P528" s="155">
        <f>+IF(OR($Q528=Parametres!$G$2,$Q528=Parametres!$G$3),K528,E528)</f>
        <v>0</v>
      </c>
      <c r="Q528" s="154">
        <f t="shared" si="42"/>
        <v>0</v>
      </c>
      <c r="R528" s="153">
        <f t="shared" si="43"/>
        <v>0</v>
      </c>
      <c r="S528" s="154">
        <f t="shared" si="44"/>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hidden="1" customHeight="1">
      <c r="A529" s="150"/>
      <c r="B529" s="150"/>
      <c r="C529" s="151"/>
      <c r="D529" s="151"/>
      <c r="E529" s="151"/>
      <c r="F529" s="150"/>
      <c r="G529" s="150"/>
      <c r="H529" s="150"/>
      <c r="I529" s="157"/>
      <c r="J529" s="157"/>
      <c r="K529" s="157"/>
      <c r="L529" s="153">
        <f t="shared" si="40"/>
        <v>0</v>
      </c>
      <c r="M529" s="154">
        <f t="shared" si="41"/>
        <v>0</v>
      </c>
      <c r="N529" s="155">
        <f>+IF(OR($Q529=Parametres!$G$2,$Q529=Parametres!$G$3),I529,C529)</f>
        <v>0</v>
      </c>
      <c r="O529" s="1122">
        <f>+IF(OR($Q529=Parametres!$G$2,$Q529=Parametres!$G$3),J529,D529)</f>
        <v>0</v>
      </c>
      <c r="P529" s="155">
        <f>+IF(OR($Q529=Parametres!$G$2,$Q529=Parametres!$G$3),K529,E529)</f>
        <v>0</v>
      </c>
      <c r="Q529" s="154">
        <f t="shared" si="42"/>
        <v>0</v>
      </c>
      <c r="R529" s="153">
        <f t="shared" si="43"/>
        <v>0</v>
      </c>
      <c r="S529" s="154">
        <f t="shared" si="44"/>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hidden="1" customHeight="1">
      <c r="A530" s="150"/>
      <c r="B530" s="150"/>
      <c r="C530" s="151"/>
      <c r="D530" s="151"/>
      <c r="E530" s="151"/>
      <c r="F530" s="150"/>
      <c r="G530" s="150"/>
      <c r="H530" s="150"/>
      <c r="I530" s="157"/>
      <c r="J530" s="157"/>
      <c r="K530" s="157"/>
      <c r="L530" s="153">
        <f t="shared" si="40"/>
        <v>0</v>
      </c>
      <c r="M530" s="154">
        <f t="shared" si="41"/>
        <v>0</v>
      </c>
      <c r="N530" s="155">
        <f>+IF(OR($Q530=Parametres!$G$2,$Q530=Parametres!$G$3),I530,C530)</f>
        <v>0</v>
      </c>
      <c r="O530" s="1122">
        <f>+IF(OR($Q530=Parametres!$G$2,$Q530=Parametres!$G$3),J530,D530)</f>
        <v>0</v>
      </c>
      <c r="P530" s="155">
        <f>+IF(OR($Q530=Parametres!$G$2,$Q530=Parametres!$G$3),K530,E530)</f>
        <v>0</v>
      </c>
      <c r="Q530" s="154">
        <f t="shared" si="42"/>
        <v>0</v>
      </c>
      <c r="R530" s="153">
        <f t="shared" si="43"/>
        <v>0</v>
      </c>
      <c r="S530" s="154">
        <f t="shared" si="44"/>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hidden="1" customHeight="1">
      <c r="A531" s="150"/>
      <c r="B531" s="150"/>
      <c r="C531" s="151"/>
      <c r="D531" s="151"/>
      <c r="E531" s="151"/>
      <c r="F531" s="150"/>
      <c r="G531" s="150"/>
      <c r="H531" s="150"/>
      <c r="I531" s="157"/>
      <c r="J531" s="157"/>
      <c r="K531" s="157"/>
      <c r="L531" s="153">
        <f t="shared" si="40"/>
        <v>0</v>
      </c>
      <c r="M531" s="154">
        <f t="shared" si="41"/>
        <v>0</v>
      </c>
      <c r="N531" s="155">
        <f>+IF(OR($Q531=Parametres!$G$2,$Q531=Parametres!$G$3),I531,C531)</f>
        <v>0</v>
      </c>
      <c r="O531" s="1122">
        <f>+IF(OR($Q531=Parametres!$G$2,$Q531=Parametres!$G$3),J531,D531)</f>
        <v>0</v>
      </c>
      <c r="P531" s="155">
        <f>+IF(OR($Q531=Parametres!$G$2,$Q531=Parametres!$G$3),K531,E531)</f>
        <v>0</v>
      </c>
      <c r="Q531" s="154">
        <f t="shared" si="42"/>
        <v>0</v>
      </c>
      <c r="R531" s="153">
        <f t="shared" si="43"/>
        <v>0</v>
      </c>
      <c r="S531" s="154">
        <f t="shared" si="44"/>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75" hidden="1" customHeight="1">
      <c r="A532" s="150"/>
      <c r="B532" s="150"/>
      <c r="C532" s="151"/>
      <c r="D532" s="151"/>
      <c r="E532" s="151"/>
      <c r="F532" s="150"/>
      <c r="G532" s="150"/>
      <c r="H532" s="150"/>
      <c r="I532" s="157"/>
      <c r="J532" s="157"/>
      <c r="K532" s="157"/>
      <c r="L532" s="153">
        <f t="shared" si="40"/>
        <v>0</v>
      </c>
      <c r="M532" s="154">
        <f t="shared" si="41"/>
        <v>0</v>
      </c>
      <c r="N532" s="155">
        <f>+IF(OR($Q532=Parametres!$G$2,$Q532=Parametres!$G$3),I532,C532)</f>
        <v>0</v>
      </c>
      <c r="O532" s="1122">
        <f>+IF(OR($Q532=Parametres!$G$2,$Q532=Parametres!$G$3),J532,D532)</f>
        <v>0</v>
      </c>
      <c r="P532" s="155">
        <f>+IF(OR($Q532=Parametres!$G$2,$Q532=Parametres!$G$3),K532,E532)</f>
        <v>0</v>
      </c>
      <c r="Q532" s="154">
        <f t="shared" si="42"/>
        <v>0</v>
      </c>
      <c r="R532" s="153">
        <f t="shared" si="43"/>
        <v>0</v>
      </c>
      <c r="S532" s="154">
        <f t="shared" si="44"/>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 hidden="1" customHeight="1">
      <c r="A533" s="150"/>
      <c r="B533" s="150"/>
      <c r="C533" s="151"/>
      <c r="D533" s="151"/>
      <c r="E533" s="151"/>
      <c r="F533" s="150"/>
      <c r="G533" s="150"/>
      <c r="H533" s="150"/>
      <c r="I533" s="157"/>
      <c r="J533" s="157"/>
      <c r="K533" s="157"/>
      <c r="L533" s="153">
        <f t="shared" si="40"/>
        <v>0</v>
      </c>
      <c r="M533" s="154">
        <f t="shared" si="41"/>
        <v>0</v>
      </c>
      <c r="N533" s="155">
        <f>+IF(OR($Q533=Parametres!$G$2,$Q533=Parametres!$G$3),I533,C533)</f>
        <v>0</v>
      </c>
      <c r="O533" s="1122">
        <f>+IF(OR($Q533=Parametres!$G$2,$Q533=Parametres!$G$3),J533,D533)</f>
        <v>0</v>
      </c>
      <c r="P533" s="155">
        <f>+IF(OR($Q533=Parametres!$G$2,$Q533=Parametres!$G$3),K533,E533)</f>
        <v>0</v>
      </c>
      <c r="Q533" s="154">
        <f t="shared" si="42"/>
        <v>0</v>
      </c>
      <c r="R533" s="153">
        <f t="shared" si="43"/>
        <v>0</v>
      </c>
      <c r="S533" s="154">
        <f t="shared" si="44"/>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hidden="1" customHeight="1">
      <c r="A534" s="150"/>
      <c r="B534" s="150"/>
      <c r="C534" s="151"/>
      <c r="D534" s="151"/>
      <c r="E534" s="151"/>
      <c r="F534" s="150"/>
      <c r="G534" s="150"/>
      <c r="H534" s="150"/>
      <c r="I534" s="157"/>
      <c r="J534" s="157"/>
      <c r="K534" s="157"/>
      <c r="L534" s="153">
        <f t="shared" si="40"/>
        <v>0</v>
      </c>
      <c r="M534" s="154">
        <f t="shared" si="41"/>
        <v>0</v>
      </c>
      <c r="N534" s="155">
        <f>+IF(OR($Q534=Parametres!$G$2,$Q534=Parametres!$G$3),I534,C534)</f>
        <v>0</v>
      </c>
      <c r="O534" s="1122">
        <f>+IF(OR($Q534=Parametres!$G$2,$Q534=Parametres!$G$3),J534,D534)</f>
        <v>0</v>
      </c>
      <c r="P534" s="155">
        <f>+IF(OR($Q534=Parametres!$G$2,$Q534=Parametres!$G$3),K534,E534)</f>
        <v>0</v>
      </c>
      <c r="Q534" s="154">
        <f t="shared" si="42"/>
        <v>0</v>
      </c>
      <c r="R534" s="153">
        <f t="shared" si="43"/>
        <v>0</v>
      </c>
      <c r="S534" s="154">
        <f t="shared" si="44"/>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hidden="1" customHeight="1">
      <c r="A535" s="150"/>
      <c r="B535" s="150"/>
      <c r="C535" s="151"/>
      <c r="D535" s="151"/>
      <c r="E535" s="151"/>
      <c r="F535" s="150"/>
      <c r="G535" s="150"/>
      <c r="H535" s="150"/>
      <c r="I535" s="157"/>
      <c r="J535" s="157"/>
      <c r="K535" s="157"/>
      <c r="L535" s="153">
        <f t="shared" si="40"/>
        <v>0</v>
      </c>
      <c r="M535" s="154">
        <f t="shared" si="41"/>
        <v>0</v>
      </c>
      <c r="N535" s="155">
        <f>+IF(OR($Q535=Parametres!$G$2,$Q535=Parametres!$G$3),I535,C535)</f>
        <v>0</v>
      </c>
      <c r="O535" s="1122">
        <f>+IF(OR($Q535=Parametres!$G$2,$Q535=Parametres!$G$3),J535,D535)</f>
        <v>0</v>
      </c>
      <c r="P535" s="155">
        <f>+IF(OR($Q535=Parametres!$G$2,$Q535=Parametres!$G$3),K535,E535)</f>
        <v>0</v>
      </c>
      <c r="Q535" s="154">
        <f t="shared" si="42"/>
        <v>0</v>
      </c>
      <c r="R535" s="153">
        <f t="shared" si="43"/>
        <v>0</v>
      </c>
      <c r="S535" s="154">
        <f t="shared" si="44"/>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75" hidden="1" customHeight="1">
      <c r="A536" s="150"/>
      <c r="B536" s="150"/>
      <c r="C536" s="151"/>
      <c r="D536" s="151"/>
      <c r="E536" s="151"/>
      <c r="F536" s="150"/>
      <c r="G536" s="150"/>
      <c r="H536" s="150"/>
      <c r="I536" s="157"/>
      <c r="J536" s="157"/>
      <c r="K536" s="157"/>
      <c r="L536" s="153">
        <f t="shared" si="40"/>
        <v>0</v>
      </c>
      <c r="M536" s="154">
        <f t="shared" si="41"/>
        <v>0</v>
      </c>
      <c r="N536" s="155">
        <f>+IF(OR($Q536=Parametres!$G$2,$Q536=Parametres!$G$3),I536,C536)</f>
        <v>0</v>
      </c>
      <c r="O536" s="1122">
        <f>+IF(OR($Q536=Parametres!$G$2,$Q536=Parametres!$G$3),J536,D536)</f>
        <v>0</v>
      </c>
      <c r="P536" s="155">
        <f>+IF(OR($Q536=Parametres!$G$2,$Q536=Parametres!$G$3),K536,E536)</f>
        <v>0</v>
      </c>
      <c r="Q536" s="154">
        <f t="shared" si="42"/>
        <v>0</v>
      </c>
      <c r="R536" s="153">
        <f t="shared" si="43"/>
        <v>0</v>
      </c>
      <c r="S536" s="154">
        <f t="shared" si="44"/>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 hidden="1" customHeight="1">
      <c r="A537" s="150"/>
      <c r="B537" s="150"/>
      <c r="C537" s="151"/>
      <c r="D537" s="151"/>
      <c r="E537" s="151"/>
      <c r="F537" s="150"/>
      <c r="G537" s="150"/>
      <c r="H537" s="150"/>
      <c r="I537" s="157"/>
      <c r="J537" s="157"/>
      <c r="K537" s="157"/>
      <c r="L537" s="153">
        <f t="shared" si="40"/>
        <v>0</v>
      </c>
      <c r="M537" s="154">
        <f t="shared" si="41"/>
        <v>0</v>
      </c>
      <c r="N537" s="155">
        <f>+IF(OR($Q537=Parametres!$G$2,$Q537=Parametres!$G$3),I537,C537)</f>
        <v>0</v>
      </c>
      <c r="O537" s="1122">
        <f>+IF(OR($Q537=Parametres!$G$2,$Q537=Parametres!$G$3),J537,D537)</f>
        <v>0</v>
      </c>
      <c r="P537" s="155">
        <f>+IF(OR($Q537=Parametres!$G$2,$Q537=Parametres!$G$3),K537,E537)</f>
        <v>0</v>
      </c>
      <c r="Q537" s="154">
        <f t="shared" si="42"/>
        <v>0</v>
      </c>
      <c r="R537" s="153">
        <f t="shared" si="43"/>
        <v>0</v>
      </c>
      <c r="S537" s="154">
        <f t="shared" si="44"/>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hidden="1" customHeight="1">
      <c r="A538" s="150"/>
      <c r="B538" s="150"/>
      <c r="C538" s="151"/>
      <c r="D538" s="151"/>
      <c r="E538" s="151"/>
      <c r="F538" s="150"/>
      <c r="G538" s="150"/>
      <c r="H538" s="150"/>
      <c r="I538" s="157"/>
      <c r="J538" s="157"/>
      <c r="K538" s="157"/>
      <c r="L538" s="153">
        <f t="shared" si="40"/>
        <v>0</v>
      </c>
      <c r="M538" s="154">
        <f t="shared" si="41"/>
        <v>0</v>
      </c>
      <c r="N538" s="155">
        <f>+IF(OR($Q538=Parametres!$G$2,$Q538=Parametres!$G$3),I538,C538)</f>
        <v>0</v>
      </c>
      <c r="O538" s="1122">
        <f>+IF(OR($Q538=Parametres!$G$2,$Q538=Parametres!$G$3),J538,D538)</f>
        <v>0</v>
      </c>
      <c r="P538" s="155">
        <f>+IF(OR($Q538=Parametres!$G$2,$Q538=Parametres!$G$3),K538,E538)</f>
        <v>0</v>
      </c>
      <c r="Q538" s="154">
        <f t="shared" si="42"/>
        <v>0</v>
      </c>
      <c r="R538" s="153">
        <f t="shared" si="43"/>
        <v>0</v>
      </c>
      <c r="S538" s="154">
        <f t="shared" si="44"/>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hidden="1" customHeight="1">
      <c r="A539" s="150"/>
      <c r="B539" s="150"/>
      <c r="C539" s="151"/>
      <c r="D539" s="151"/>
      <c r="E539" s="151"/>
      <c r="F539" s="150"/>
      <c r="G539" s="150"/>
      <c r="H539" s="150"/>
      <c r="I539" s="157"/>
      <c r="J539" s="157"/>
      <c r="K539" s="157"/>
      <c r="L539" s="153">
        <f t="shared" si="40"/>
        <v>0</v>
      </c>
      <c r="M539" s="154">
        <f t="shared" si="41"/>
        <v>0</v>
      </c>
      <c r="N539" s="155">
        <f>+IF(OR($Q539=Parametres!$G$2,$Q539=Parametres!$G$3),I539,C539)</f>
        <v>0</v>
      </c>
      <c r="O539" s="1122">
        <f>+IF(OR($Q539=Parametres!$G$2,$Q539=Parametres!$G$3),J539,D539)</f>
        <v>0</v>
      </c>
      <c r="P539" s="155">
        <f>+IF(OR($Q539=Parametres!$G$2,$Q539=Parametres!$G$3),K539,E539)</f>
        <v>0</v>
      </c>
      <c r="Q539" s="154">
        <f t="shared" si="42"/>
        <v>0</v>
      </c>
      <c r="R539" s="153">
        <f t="shared" si="43"/>
        <v>0</v>
      </c>
      <c r="S539" s="154">
        <f t="shared" si="44"/>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hidden="1" customHeight="1">
      <c r="A540" s="150"/>
      <c r="B540" s="150"/>
      <c r="C540" s="151"/>
      <c r="D540" s="151"/>
      <c r="E540" s="151"/>
      <c r="F540" s="150"/>
      <c r="G540" s="150"/>
      <c r="H540" s="150"/>
      <c r="I540" s="157"/>
      <c r="J540" s="157"/>
      <c r="K540" s="157"/>
      <c r="L540" s="153">
        <f t="shared" si="40"/>
        <v>0</v>
      </c>
      <c r="M540" s="154">
        <f t="shared" si="41"/>
        <v>0</v>
      </c>
      <c r="N540" s="155">
        <f>+IF(OR($Q540=Parametres!$G$2,$Q540=Parametres!$G$3),I540,C540)</f>
        <v>0</v>
      </c>
      <c r="O540" s="1122">
        <f>+IF(OR($Q540=Parametres!$G$2,$Q540=Parametres!$G$3),J540,D540)</f>
        <v>0</v>
      </c>
      <c r="P540" s="155">
        <f>+IF(OR($Q540=Parametres!$G$2,$Q540=Parametres!$G$3),K540,E540)</f>
        <v>0</v>
      </c>
      <c r="Q540" s="154">
        <f t="shared" si="42"/>
        <v>0</v>
      </c>
      <c r="R540" s="153">
        <f t="shared" si="43"/>
        <v>0</v>
      </c>
      <c r="S540" s="154">
        <f t="shared" si="44"/>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75" hidden="1" customHeight="1">
      <c r="A541" s="150"/>
      <c r="B541" s="150"/>
      <c r="C541" s="151"/>
      <c r="D541" s="151"/>
      <c r="E541" s="151"/>
      <c r="F541" s="150"/>
      <c r="G541" s="150"/>
      <c r="H541" s="150"/>
      <c r="I541" s="157"/>
      <c r="J541" s="157"/>
      <c r="K541" s="157"/>
      <c r="L541" s="153">
        <f t="shared" si="40"/>
        <v>0</v>
      </c>
      <c r="M541" s="154">
        <f t="shared" si="41"/>
        <v>0</v>
      </c>
      <c r="N541" s="155">
        <f>+IF(OR($Q541=Parametres!$G$2,$Q541=Parametres!$G$3),I541,C541)</f>
        <v>0</v>
      </c>
      <c r="O541" s="1122">
        <f>+IF(OR($Q541=Parametres!$G$2,$Q541=Parametres!$G$3),J541,D541)</f>
        <v>0</v>
      </c>
      <c r="P541" s="155">
        <f>+IF(OR($Q541=Parametres!$G$2,$Q541=Parametres!$G$3),K541,E541)</f>
        <v>0</v>
      </c>
      <c r="Q541" s="154">
        <f t="shared" si="42"/>
        <v>0</v>
      </c>
      <c r="R541" s="153">
        <f t="shared" si="43"/>
        <v>0</v>
      </c>
      <c r="S541" s="154">
        <f t="shared" si="44"/>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 hidden="1" customHeight="1">
      <c r="A542" s="150"/>
      <c r="B542" s="150"/>
      <c r="C542" s="151"/>
      <c r="D542" s="151"/>
      <c r="E542" s="151"/>
      <c r="F542" s="150"/>
      <c r="G542" s="150"/>
      <c r="H542" s="150"/>
      <c r="I542" s="157"/>
      <c r="J542" s="157"/>
      <c r="K542" s="157"/>
      <c r="L542" s="153">
        <f t="shared" si="40"/>
        <v>0</v>
      </c>
      <c r="M542" s="154">
        <f t="shared" si="41"/>
        <v>0</v>
      </c>
      <c r="N542" s="155">
        <f>+IF(OR($Q542=Parametres!$G$2,$Q542=Parametres!$G$3),I542,C542)</f>
        <v>0</v>
      </c>
      <c r="O542" s="1122">
        <f>+IF(OR($Q542=Parametres!$G$2,$Q542=Parametres!$G$3),J542,D542)</f>
        <v>0</v>
      </c>
      <c r="P542" s="155">
        <f>+IF(OR($Q542=Parametres!$G$2,$Q542=Parametres!$G$3),K542,E542)</f>
        <v>0</v>
      </c>
      <c r="Q542" s="154">
        <f t="shared" si="42"/>
        <v>0</v>
      </c>
      <c r="R542" s="153">
        <f t="shared" si="43"/>
        <v>0</v>
      </c>
      <c r="S542" s="154">
        <f t="shared" si="44"/>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hidden="1" customHeight="1">
      <c r="A543" s="150"/>
      <c r="B543" s="150"/>
      <c r="C543" s="151"/>
      <c r="D543" s="151"/>
      <c r="E543" s="151"/>
      <c r="F543" s="150"/>
      <c r="G543" s="150"/>
      <c r="H543" s="150"/>
      <c r="I543" s="157"/>
      <c r="J543" s="157"/>
      <c r="K543" s="157"/>
      <c r="L543" s="153">
        <f t="shared" si="40"/>
        <v>0</v>
      </c>
      <c r="M543" s="154">
        <f t="shared" si="41"/>
        <v>0</v>
      </c>
      <c r="N543" s="155">
        <f>+IF(OR($Q543=Parametres!$G$2,$Q543=Parametres!$G$3),I543,C543)</f>
        <v>0</v>
      </c>
      <c r="O543" s="1122">
        <f>+IF(OR($Q543=Parametres!$G$2,$Q543=Parametres!$G$3),J543,D543)</f>
        <v>0</v>
      </c>
      <c r="P543" s="155">
        <f>+IF(OR($Q543=Parametres!$G$2,$Q543=Parametres!$G$3),K543,E543)</f>
        <v>0</v>
      </c>
      <c r="Q543" s="154">
        <f t="shared" si="42"/>
        <v>0</v>
      </c>
      <c r="R543" s="153">
        <f t="shared" si="43"/>
        <v>0</v>
      </c>
      <c r="S543" s="154">
        <f t="shared" si="44"/>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hidden="1" customHeight="1">
      <c r="A544" s="150"/>
      <c r="B544" s="150"/>
      <c r="C544" s="151"/>
      <c r="D544" s="151"/>
      <c r="E544" s="151"/>
      <c r="F544" s="150"/>
      <c r="G544" s="150"/>
      <c r="H544" s="150"/>
      <c r="I544" s="157"/>
      <c r="J544" s="157"/>
      <c r="K544" s="157"/>
      <c r="L544" s="153">
        <f t="shared" si="40"/>
        <v>0</v>
      </c>
      <c r="M544" s="154">
        <f t="shared" si="41"/>
        <v>0</v>
      </c>
      <c r="N544" s="155">
        <f>+IF(OR($Q544=Parametres!$G$2,$Q544=Parametres!$G$3),I544,C544)</f>
        <v>0</v>
      </c>
      <c r="O544" s="1122">
        <f>+IF(OR($Q544=Parametres!$G$2,$Q544=Parametres!$G$3),J544,D544)</f>
        <v>0</v>
      </c>
      <c r="P544" s="155">
        <f>+IF(OR($Q544=Parametres!$G$2,$Q544=Parametres!$G$3),K544,E544)</f>
        <v>0</v>
      </c>
      <c r="Q544" s="154">
        <f t="shared" si="42"/>
        <v>0</v>
      </c>
      <c r="R544" s="153">
        <f t="shared" si="43"/>
        <v>0</v>
      </c>
      <c r="S544" s="154">
        <f t="shared" si="44"/>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hidden="1" customHeight="1">
      <c r="A545" s="150"/>
      <c r="B545" s="150"/>
      <c r="C545" s="151"/>
      <c r="D545" s="151"/>
      <c r="E545" s="151"/>
      <c r="F545" s="150"/>
      <c r="G545" s="150"/>
      <c r="H545" s="150"/>
      <c r="I545" s="157"/>
      <c r="J545" s="157"/>
      <c r="K545" s="157"/>
      <c r="L545" s="153">
        <f t="shared" si="40"/>
        <v>0</v>
      </c>
      <c r="M545" s="154">
        <f t="shared" si="41"/>
        <v>0</v>
      </c>
      <c r="N545" s="155">
        <f>+IF(OR($Q545=Parametres!$G$2,$Q545=Parametres!$G$3),I545,C545)</f>
        <v>0</v>
      </c>
      <c r="O545" s="1122">
        <f>+IF(OR($Q545=Parametres!$G$2,$Q545=Parametres!$G$3),J545,D545)</f>
        <v>0</v>
      </c>
      <c r="P545" s="155">
        <f>+IF(OR($Q545=Parametres!$G$2,$Q545=Parametres!$G$3),K545,E545)</f>
        <v>0</v>
      </c>
      <c r="Q545" s="154">
        <f t="shared" si="42"/>
        <v>0</v>
      </c>
      <c r="R545" s="153">
        <f t="shared" si="43"/>
        <v>0</v>
      </c>
      <c r="S545" s="154">
        <f t="shared" si="44"/>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75" hidden="1" customHeight="1">
      <c r="A546" s="150"/>
      <c r="B546" s="150"/>
      <c r="C546" s="151"/>
      <c r="D546" s="151"/>
      <c r="E546" s="151"/>
      <c r="F546" s="150"/>
      <c r="G546" s="150"/>
      <c r="H546" s="150"/>
      <c r="I546" s="157"/>
      <c r="J546" s="157"/>
      <c r="K546" s="157"/>
      <c r="L546" s="153">
        <f t="shared" si="40"/>
        <v>0</v>
      </c>
      <c r="M546" s="154">
        <f t="shared" si="41"/>
        <v>0</v>
      </c>
      <c r="N546" s="155">
        <f>+IF(OR($Q546=Parametres!$G$2,$Q546=Parametres!$G$3),I546,C546)</f>
        <v>0</v>
      </c>
      <c r="O546" s="1122">
        <f>+IF(OR($Q546=Parametres!$G$2,$Q546=Parametres!$G$3),J546,D546)</f>
        <v>0</v>
      </c>
      <c r="P546" s="155">
        <f>+IF(OR($Q546=Parametres!$G$2,$Q546=Parametres!$G$3),K546,E546)</f>
        <v>0</v>
      </c>
      <c r="Q546" s="154">
        <f t="shared" si="42"/>
        <v>0</v>
      </c>
      <c r="R546" s="153">
        <f t="shared" si="43"/>
        <v>0</v>
      </c>
      <c r="S546" s="154">
        <f t="shared" si="44"/>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 hidden="1" customHeight="1">
      <c r="A547" s="150"/>
      <c r="B547" s="150"/>
      <c r="C547" s="151"/>
      <c r="D547" s="151"/>
      <c r="E547" s="151"/>
      <c r="F547" s="150"/>
      <c r="G547" s="150"/>
      <c r="H547" s="150"/>
      <c r="I547" s="157"/>
      <c r="J547" s="157"/>
      <c r="K547" s="157"/>
      <c r="L547" s="153">
        <f t="shared" si="40"/>
        <v>0</v>
      </c>
      <c r="M547" s="154">
        <f t="shared" si="41"/>
        <v>0</v>
      </c>
      <c r="N547" s="155">
        <f>+IF(OR($Q547=Parametres!$G$2,$Q547=Parametres!$G$3),I547,C547)</f>
        <v>0</v>
      </c>
      <c r="O547" s="1122">
        <f>+IF(OR($Q547=Parametres!$G$2,$Q547=Parametres!$G$3),J547,D547)</f>
        <v>0</v>
      </c>
      <c r="P547" s="155">
        <f>+IF(OR($Q547=Parametres!$G$2,$Q547=Parametres!$G$3),K547,E547)</f>
        <v>0</v>
      </c>
      <c r="Q547" s="154">
        <f t="shared" si="42"/>
        <v>0</v>
      </c>
      <c r="R547" s="153">
        <f t="shared" si="43"/>
        <v>0</v>
      </c>
      <c r="S547" s="154">
        <f t="shared" si="44"/>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hidden="1" customHeight="1">
      <c r="A548" s="150"/>
      <c r="B548" s="150"/>
      <c r="C548" s="151"/>
      <c r="D548" s="151"/>
      <c r="E548" s="151"/>
      <c r="F548" s="150"/>
      <c r="G548" s="150"/>
      <c r="H548" s="150"/>
      <c r="I548" s="157"/>
      <c r="J548" s="157"/>
      <c r="K548" s="157"/>
      <c r="L548" s="153">
        <f t="shared" si="40"/>
        <v>0</v>
      </c>
      <c r="M548" s="154">
        <f t="shared" si="41"/>
        <v>0</v>
      </c>
      <c r="N548" s="155">
        <f>+IF(OR($Q548=Parametres!$G$2,$Q548=Parametres!$G$3),I548,C548)</f>
        <v>0</v>
      </c>
      <c r="O548" s="1122">
        <f>+IF(OR($Q548=Parametres!$G$2,$Q548=Parametres!$G$3),J548,D548)</f>
        <v>0</v>
      </c>
      <c r="P548" s="155">
        <f>+IF(OR($Q548=Parametres!$G$2,$Q548=Parametres!$G$3),K548,E548)</f>
        <v>0</v>
      </c>
      <c r="Q548" s="154">
        <f t="shared" si="42"/>
        <v>0</v>
      </c>
      <c r="R548" s="153">
        <f t="shared" si="43"/>
        <v>0</v>
      </c>
      <c r="S548" s="154">
        <f t="shared" si="44"/>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hidden="1" customHeight="1">
      <c r="A549" s="150"/>
      <c r="B549" s="150"/>
      <c r="C549" s="151"/>
      <c r="D549" s="151"/>
      <c r="E549" s="151"/>
      <c r="F549" s="150"/>
      <c r="G549" s="150"/>
      <c r="H549" s="150"/>
      <c r="I549" s="157"/>
      <c r="J549" s="157"/>
      <c r="K549" s="157"/>
      <c r="L549" s="153">
        <f t="shared" si="40"/>
        <v>0</v>
      </c>
      <c r="M549" s="154">
        <f t="shared" si="41"/>
        <v>0</v>
      </c>
      <c r="N549" s="155">
        <f>+IF(OR($Q549=Parametres!$G$2,$Q549=Parametres!$G$3),I549,C549)</f>
        <v>0</v>
      </c>
      <c r="O549" s="1122">
        <f>+IF(OR($Q549=Parametres!$G$2,$Q549=Parametres!$G$3),J549,D549)</f>
        <v>0</v>
      </c>
      <c r="P549" s="155">
        <f>+IF(OR($Q549=Parametres!$G$2,$Q549=Parametres!$G$3),K549,E549)</f>
        <v>0</v>
      </c>
      <c r="Q549" s="154">
        <f t="shared" si="42"/>
        <v>0</v>
      </c>
      <c r="R549" s="153">
        <f t="shared" si="43"/>
        <v>0</v>
      </c>
      <c r="S549" s="154">
        <f t="shared" si="44"/>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75" hidden="1" customHeight="1">
      <c r="A550" s="150"/>
      <c r="B550" s="150"/>
      <c r="C550" s="151"/>
      <c r="D550" s="151"/>
      <c r="E550" s="151"/>
      <c r="F550" s="150"/>
      <c r="G550" s="150"/>
      <c r="H550" s="150"/>
      <c r="I550" s="157"/>
      <c r="J550" s="157"/>
      <c r="K550" s="157"/>
      <c r="L550" s="153">
        <f t="shared" si="40"/>
        <v>0</v>
      </c>
      <c r="M550" s="154">
        <f t="shared" si="41"/>
        <v>0</v>
      </c>
      <c r="N550" s="155">
        <f>+IF(OR($Q550=Parametres!$G$2,$Q550=Parametres!$G$3),I550,C550)</f>
        <v>0</v>
      </c>
      <c r="O550" s="1122">
        <f>+IF(OR($Q550=Parametres!$G$2,$Q550=Parametres!$G$3),J550,D550)</f>
        <v>0</v>
      </c>
      <c r="P550" s="155">
        <f>+IF(OR($Q550=Parametres!$G$2,$Q550=Parametres!$G$3),K550,E550)</f>
        <v>0</v>
      </c>
      <c r="Q550" s="154">
        <f t="shared" si="42"/>
        <v>0</v>
      </c>
      <c r="R550" s="153">
        <f t="shared" si="43"/>
        <v>0</v>
      </c>
      <c r="S550" s="154">
        <f t="shared" si="44"/>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 hidden="1" customHeight="1">
      <c r="A551" s="150"/>
      <c r="B551" s="150"/>
      <c r="C551" s="151"/>
      <c r="D551" s="151"/>
      <c r="E551" s="151"/>
      <c r="F551" s="150"/>
      <c r="G551" s="150"/>
      <c r="H551" s="150"/>
      <c r="I551" s="157"/>
      <c r="J551" s="157"/>
      <c r="K551" s="157"/>
      <c r="L551" s="153">
        <f t="shared" si="40"/>
        <v>0</v>
      </c>
      <c r="M551" s="154">
        <f t="shared" si="41"/>
        <v>0</v>
      </c>
      <c r="N551" s="155">
        <f>+IF(OR($Q551=Parametres!$G$2,$Q551=Parametres!$G$3),I551,C551)</f>
        <v>0</v>
      </c>
      <c r="O551" s="1122">
        <f>+IF(OR($Q551=Parametres!$G$2,$Q551=Parametres!$G$3),J551,D551)</f>
        <v>0</v>
      </c>
      <c r="P551" s="155">
        <f>+IF(OR($Q551=Parametres!$G$2,$Q551=Parametres!$G$3),K551,E551)</f>
        <v>0</v>
      </c>
      <c r="Q551" s="154">
        <f t="shared" si="42"/>
        <v>0</v>
      </c>
      <c r="R551" s="153">
        <f t="shared" si="43"/>
        <v>0</v>
      </c>
      <c r="S551" s="154">
        <f t="shared" si="44"/>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hidden="1" customHeight="1">
      <c r="A552" s="150"/>
      <c r="B552" s="150"/>
      <c r="C552" s="151"/>
      <c r="D552" s="151"/>
      <c r="E552" s="151"/>
      <c r="F552" s="150"/>
      <c r="G552" s="150"/>
      <c r="H552" s="150"/>
      <c r="I552" s="157"/>
      <c r="J552" s="157"/>
      <c r="K552" s="157"/>
      <c r="L552" s="153">
        <f t="shared" si="40"/>
        <v>0</v>
      </c>
      <c r="M552" s="154">
        <f t="shared" si="41"/>
        <v>0</v>
      </c>
      <c r="N552" s="155">
        <f>+IF(OR($Q552=Parametres!$G$2,$Q552=Parametres!$G$3),I552,C552)</f>
        <v>0</v>
      </c>
      <c r="O552" s="1122">
        <f>+IF(OR($Q552=Parametres!$G$2,$Q552=Parametres!$G$3),J552,D552)</f>
        <v>0</v>
      </c>
      <c r="P552" s="155">
        <f>+IF(OR($Q552=Parametres!$G$2,$Q552=Parametres!$G$3),K552,E552)</f>
        <v>0</v>
      </c>
      <c r="Q552" s="154">
        <f t="shared" si="42"/>
        <v>0</v>
      </c>
      <c r="R552" s="153">
        <f t="shared" si="43"/>
        <v>0</v>
      </c>
      <c r="S552" s="154">
        <f t="shared" si="44"/>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hidden="1" customHeight="1">
      <c r="A553" s="150"/>
      <c r="B553" s="150"/>
      <c r="C553" s="151"/>
      <c r="D553" s="151"/>
      <c r="E553" s="151"/>
      <c r="F553" s="150"/>
      <c r="G553" s="150"/>
      <c r="H553" s="150"/>
      <c r="I553" s="157"/>
      <c r="J553" s="157"/>
      <c r="K553" s="157"/>
      <c r="L553" s="153">
        <f t="shared" si="40"/>
        <v>0</v>
      </c>
      <c r="M553" s="154">
        <f t="shared" si="41"/>
        <v>0</v>
      </c>
      <c r="N553" s="155">
        <f>+IF(OR($Q553=Parametres!$G$2,$Q553=Parametres!$G$3),I553,C553)</f>
        <v>0</v>
      </c>
      <c r="O553" s="1122">
        <f>+IF(OR($Q553=Parametres!$G$2,$Q553=Parametres!$G$3),J553,D553)</f>
        <v>0</v>
      </c>
      <c r="P553" s="155">
        <f>+IF(OR($Q553=Parametres!$G$2,$Q553=Parametres!$G$3),K553,E553)</f>
        <v>0</v>
      </c>
      <c r="Q553" s="154">
        <f t="shared" si="42"/>
        <v>0</v>
      </c>
      <c r="R553" s="153">
        <f t="shared" si="43"/>
        <v>0</v>
      </c>
      <c r="S553" s="154">
        <f t="shared" si="44"/>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75" hidden="1" customHeight="1">
      <c r="A554" s="150"/>
      <c r="B554" s="150"/>
      <c r="C554" s="151"/>
      <c r="D554" s="151"/>
      <c r="E554" s="151"/>
      <c r="F554" s="150"/>
      <c r="G554" s="150"/>
      <c r="H554" s="150"/>
      <c r="I554" s="157"/>
      <c r="J554" s="157"/>
      <c r="K554" s="157"/>
      <c r="L554" s="153">
        <f t="shared" si="40"/>
        <v>0</v>
      </c>
      <c r="M554" s="154">
        <f t="shared" si="41"/>
        <v>0</v>
      </c>
      <c r="N554" s="155">
        <f>+IF(OR($Q554=Parametres!$G$2,$Q554=Parametres!$G$3),I554,C554)</f>
        <v>0</v>
      </c>
      <c r="O554" s="1122">
        <f>+IF(OR($Q554=Parametres!$G$2,$Q554=Parametres!$G$3),J554,D554)</f>
        <v>0</v>
      </c>
      <c r="P554" s="155">
        <f>+IF(OR($Q554=Parametres!$G$2,$Q554=Parametres!$G$3),K554,E554)</f>
        <v>0</v>
      </c>
      <c r="Q554" s="154">
        <f t="shared" si="42"/>
        <v>0</v>
      </c>
      <c r="R554" s="153">
        <f t="shared" si="43"/>
        <v>0</v>
      </c>
      <c r="S554" s="154">
        <f t="shared" si="44"/>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 hidden="1" customHeight="1">
      <c r="A555" s="150"/>
      <c r="B555" s="150"/>
      <c r="C555" s="151"/>
      <c r="D555" s="151"/>
      <c r="E555" s="151"/>
      <c r="F555" s="150"/>
      <c r="G555" s="150"/>
      <c r="H555" s="150"/>
      <c r="I555" s="157"/>
      <c r="J555" s="157"/>
      <c r="K555" s="157"/>
      <c r="L555" s="153">
        <f t="shared" si="40"/>
        <v>0</v>
      </c>
      <c r="M555" s="154">
        <f t="shared" si="41"/>
        <v>0</v>
      </c>
      <c r="N555" s="155">
        <f>+IF(OR($Q555=Parametres!$G$2,$Q555=Parametres!$G$3),I555,C555)</f>
        <v>0</v>
      </c>
      <c r="O555" s="1122">
        <f>+IF(OR($Q555=Parametres!$G$2,$Q555=Parametres!$G$3),J555,D555)</f>
        <v>0</v>
      </c>
      <c r="P555" s="155">
        <f>+IF(OR($Q555=Parametres!$G$2,$Q555=Parametres!$G$3),K555,E555)</f>
        <v>0</v>
      </c>
      <c r="Q555" s="154">
        <f t="shared" si="42"/>
        <v>0</v>
      </c>
      <c r="R555" s="153">
        <f t="shared" si="43"/>
        <v>0</v>
      </c>
      <c r="S555" s="154">
        <f t="shared" si="44"/>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hidden="1" customHeight="1">
      <c r="A556" s="150"/>
      <c r="B556" s="150"/>
      <c r="C556" s="151"/>
      <c r="D556" s="151"/>
      <c r="E556" s="151"/>
      <c r="F556" s="150"/>
      <c r="G556" s="150"/>
      <c r="H556" s="150"/>
      <c r="I556" s="157"/>
      <c r="J556" s="157"/>
      <c r="K556" s="157"/>
      <c r="L556" s="153">
        <f t="shared" si="40"/>
        <v>0</v>
      </c>
      <c r="M556" s="154">
        <f t="shared" si="41"/>
        <v>0</v>
      </c>
      <c r="N556" s="155">
        <f>+IF(OR($Q556=Parametres!$G$2,$Q556=Parametres!$G$3),I556,C556)</f>
        <v>0</v>
      </c>
      <c r="O556" s="1122">
        <f>+IF(OR($Q556=Parametres!$G$2,$Q556=Parametres!$G$3),J556,D556)</f>
        <v>0</v>
      </c>
      <c r="P556" s="155">
        <f>+IF(OR($Q556=Parametres!$G$2,$Q556=Parametres!$G$3),K556,E556)</f>
        <v>0</v>
      </c>
      <c r="Q556" s="154">
        <f t="shared" si="42"/>
        <v>0</v>
      </c>
      <c r="R556" s="153">
        <f t="shared" si="43"/>
        <v>0</v>
      </c>
      <c r="S556" s="154">
        <f t="shared" si="44"/>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hidden="1" customHeight="1">
      <c r="A557" s="150"/>
      <c r="B557" s="150"/>
      <c r="C557" s="151"/>
      <c r="D557" s="151"/>
      <c r="E557" s="151"/>
      <c r="F557" s="150"/>
      <c r="G557" s="150"/>
      <c r="H557" s="150"/>
      <c r="I557" s="157"/>
      <c r="J557" s="157"/>
      <c r="K557" s="157"/>
      <c r="L557" s="153">
        <f t="shared" si="40"/>
        <v>0</v>
      </c>
      <c r="M557" s="154">
        <f t="shared" si="41"/>
        <v>0</v>
      </c>
      <c r="N557" s="155">
        <f>+IF(OR($Q557=Parametres!$G$2,$Q557=Parametres!$G$3),I557,C557)</f>
        <v>0</v>
      </c>
      <c r="O557" s="1122">
        <f>+IF(OR($Q557=Parametres!$G$2,$Q557=Parametres!$G$3),J557,D557)</f>
        <v>0</v>
      </c>
      <c r="P557" s="155">
        <f>+IF(OR($Q557=Parametres!$G$2,$Q557=Parametres!$G$3),K557,E557)</f>
        <v>0</v>
      </c>
      <c r="Q557" s="154">
        <f t="shared" si="42"/>
        <v>0</v>
      </c>
      <c r="R557" s="153">
        <f t="shared" si="43"/>
        <v>0</v>
      </c>
      <c r="S557" s="154">
        <f t="shared" si="44"/>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75" hidden="1" customHeight="1">
      <c r="A558" s="150"/>
      <c r="B558" s="150"/>
      <c r="C558" s="151"/>
      <c r="D558" s="151"/>
      <c r="E558" s="151"/>
      <c r="F558" s="150"/>
      <c r="G558" s="150"/>
      <c r="H558" s="150"/>
      <c r="I558" s="157"/>
      <c r="J558" s="157"/>
      <c r="K558" s="157"/>
      <c r="L558" s="153">
        <f t="shared" si="40"/>
        <v>0</v>
      </c>
      <c r="M558" s="154">
        <f t="shared" si="41"/>
        <v>0</v>
      </c>
      <c r="N558" s="155">
        <f>+IF(OR($Q558=Parametres!$G$2,$Q558=Parametres!$G$3),I558,C558)</f>
        <v>0</v>
      </c>
      <c r="O558" s="1122">
        <f>+IF(OR($Q558=Parametres!$G$2,$Q558=Parametres!$G$3),J558,D558)</f>
        <v>0</v>
      </c>
      <c r="P558" s="155">
        <f>+IF(OR($Q558=Parametres!$G$2,$Q558=Parametres!$G$3),K558,E558)</f>
        <v>0</v>
      </c>
      <c r="Q558" s="154">
        <f t="shared" si="42"/>
        <v>0</v>
      </c>
      <c r="R558" s="153">
        <f t="shared" si="43"/>
        <v>0</v>
      </c>
      <c r="S558" s="154">
        <f t="shared" si="44"/>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 hidden="1" customHeight="1">
      <c r="A559" s="150"/>
      <c r="B559" s="150"/>
      <c r="C559" s="151"/>
      <c r="D559" s="151"/>
      <c r="E559" s="151"/>
      <c r="F559" s="150"/>
      <c r="G559" s="150"/>
      <c r="H559" s="150"/>
      <c r="I559" s="157"/>
      <c r="J559" s="157"/>
      <c r="K559" s="157"/>
      <c r="L559" s="153">
        <f t="shared" si="40"/>
        <v>0</v>
      </c>
      <c r="M559" s="154">
        <f t="shared" si="41"/>
        <v>0</v>
      </c>
      <c r="N559" s="155">
        <f>+IF(OR($Q559=Parametres!$G$2,$Q559=Parametres!$G$3),I559,C559)</f>
        <v>0</v>
      </c>
      <c r="O559" s="1122">
        <f>+IF(OR($Q559=Parametres!$G$2,$Q559=Parametres!$G$3),J559,D559)</f>
        <v>0</v>
      </c>
      <c r="P559" s="155">
        <f>+IF(OR($Q559=Parametres!$G$2,$Q559=Parametres!$G$3),K559,E559)</f>
        <v>0</v>
      </c>
      <c r="Q559" s="154">
        <f t="shared" si="42"/>
        <v>0</v>
      </c>
      <c r="R559" s="153">
        <f t="shared" si="43"/>
        <v>0</v>
      </c>
      <c r="S559" s="154">
        <f t="shared" si="44"/>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hidden="1" customHeight="1">
      <c r="A560" s="150"/>
      <c r="B560" s="150"/>
      <c r="C560" s="151"/>
      <c r="D560" s="151"/>
      <c r="E560" s="151"/>
      <c r="F560" s="150"/>
      <c r="G560" s="150"/>
      <c r="H560" s="150"/>
      <c r="I560" s="157"/>
      <c r="J560" s="157"/>
      <c r="K560" s="157"/>
      <c r="L560" s="153">
        <f t="shared" si="40"/>
        <v>0</v>
      </c>
      <c r="M560" s="154">
        <f t="shared" si="41"/>
        <v>0</v>
      </c>
      <c r="N560" s="155">
        <f>+IF(OR($Q560=Parametres!$G$2,$Q560=Parametres!$G$3),I560,C560)</f>
        <v>0</v>
      </c>
      <c r="O560" s="1122">
        <f>+IF(OR($Q560=Parametres!$G$2,$Q560=Parametres!$G$3),J560,D560)</f>
        <v>0</v>
      </c>
      <c r="P560" s="155">
        <f>+IF(OR($Q560=Parametres!$G$2,$Q560=Parametres!$G$3),K560,E560)</f>
        <v>0</v>
      </c>
      <c r="Q560" s="154">
        <f t="shared" si="42"/>
        <v>0</v>
      </c>
      <c r="R560" s="153">
        <f t="shared" si="43"/>
        <v>0</v>
      </c>
      <c r="S560" s="154">
        <f t="shared" si="44"/>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hidden="1" customHeight="1">
      <c r="A561" s="150"/>
      <c r="B561" s="150"/>
      <c r="C561" s="151"/>
      <c r="D561" s="151"/>
      <c r="E561" s="151"/>
      <c r="F561" s="150"/>
      <c r="G561" s="150"/>
      <c r="H561" s="150"/>
      <c r="I561" s="157"/>
      <c r="J561" s="157"/>
      <c r="K561" s="157"/>
      <c r="L561" s="153">
        <f t="shared" si="40"/>
        <v>0</v>
      </c>
      <c r="M561" s="154">
        <f t="shared" si="41"/>
        <v>0</v>
      </c>
      <c r="N561" s="155">
        <f>+IF(OR($Q561=Parametres!$G$2,$Q561=Parametres!$G$3),I561,C561)</f>
        <v>0</v>
      </c>
      <c r="O561" s="1122">
        <f>+IF(OR($Q561=Parametres!$G$2,$Q561=Parametres!$G$3),J561,D561)</f>
        <v>0</v>
      </c>
      <c r="P561" s="155">
        <f>+IF(OR($Q561=Parametres!$G$2,$Q561=Parametres!$G$3),K561,E561)</f>
        <v>0</v>
      </c>
      <c r="Q561" s="154">
        <f t="shared" si="42"/>
        <v>0</v>
      </c>
      <c r="R561" s="153">
        <f t="shared" si="43"/>
        <v>0</v>
      </c>
      <c r="S561" s="154">
        <f t="shared" si="44"/>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75" hidden="1" customHeight="1">
      <c r="A562" s="150"/>
      <c r="B562" s="150"/>
      <c r="C562" s="151"/>
      <c r="D562" s="151"/>
      <c r="E562" s="151"/>
      <c r="F562" s="150"/>
      <c r="G562" s="150"/>
      <c r="H562" s="150"/>
      <c r="I562" s="157"/>
      <c r="J562" s="157"/>
      <c r="K562" s="157"/>
      <c r="L562" s="153">
        <f t="shared" si="40"/>
        <v>0</v>
      </c>
      <c r="M562" s="154">
        <f t="shared" si="41"/>
        <v>0</v>
      </c>
      <c r="N562" s="155">
        <f>+IF(OR($Q562=Parametres!$G$2,$Q562=Parametres!$G$3),I562,C562)</f>
        <v>0</v>
      </c>
      <c r="O562" s="1122">
        <f>+IF(OR($Q562=Parametres!$G$2,$Q562=Parametres!$G$3),J562,D562)</f>
        <v>0</v>
      </c>
      <c r="P562" s="155">
        <f>+IF(OR($Q562=Parametres!$G$2,$Q562=Parametres!$G$3),K562,E562)</f>
        <v>0</v>
      </c>
      <c r="Q562" s="154">
        <f t="shared" si="42"/>
        <v>0</v>
      </c>
      <c r="R562" s="153">
        <f t="shared" si="43"/>
        <v>0</v>
      </c>
      <c r="S562" s="154">
        <f t="shared" si="44"/>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 hidden="1" customHeight="1">
      <c r="A563" s="150"/>
      <c r="B563" s="150"/>
      <c r="C563" s="151"/>
      <c r="D563" s="151"/>
      <c r="E563" s="151"/>
      <c r="F563" s="150"/>
      <c r="G563" s="150"/>
      <c r="H563" s="150"/>
      <c r="I563" s="157"/>
      <c r="J563" s="157"/>
      <c r="K563" s="157"/>
      <c r="L563" s="153">
        <f t="shared" si="40"/>
        <v>0</v>
      </c>
      <c r="M563" s="154">
        <f t="shared" si="41"/>
        <v>0</v>
      </c>
      <c r="N563" s="155">
        <f>+IF(OR($Q563=Parametres!$G$2,$Q563=Parametres!$G$3),I563,C563)</f>
        <v>0</v>
      </c>
      <c r="O563" s="1122">
        <f>+IF(OR($Q563=Parametres!$G$2,$Q563=Parametres!$G$3),J563,D563)</f>
        <v>0</v>
      </c>
      <c r="P563" s="155">
        <f>+IF(OR($Q563=Parametres!$G$2,$Q563=Parametres!$G$3),K563,E563)</f>
        <v>0</v>
      </c>
      <c r="Q563" s="154">
        <f t="shared" si="42"/>
        <v>0</v>
      </c>
      <c r="R563" s="153">
        <f t="shared" si="43"/>
        <v>0</v>
      </c>
      <c r="S563" s="154">
        <f t="shared" si="44"/>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hidden="1" customHeight="1">
      <c r="A564" s="150"/>
      <c r="B564" s="150"/>
      <c r="C564" s="151"/>
      <c r="D564" s="151"/>
      <c r="E564" s="151"/>
      <c r="F564" s="150"/>
      <c r="G564" s="150"/>
      <c r="H564" s="150"/>
      <c r="I564" s="157"/>
      <c r="J564" s="157"/>
      <c r="K564" s="157"/>
      <c r="L564" s="153">
        <f t="shared" si="40"/>
        <v>0</v>
      </c>
      <c r="M564" s="154">
        <f t="shared" si="41"/>
        <v>0</v>
      </c>
      <c r="N564" s="155">
        <f>+IF(OR($Q564=Parametres!$G$2,$Q564=Parametres!$G$3),I564,C564)</f>
        <v>0</v>
      </c>
      <c r="O564" s="1122">
        <f>+IF(OR($Q564=Parametres!$G$2,$Q564=Parametres!$G$3),J564,D564)</f>
        <v>0</v>
      </c>
      <c r="P564" s="155">
        <f>+IF(OR($Q564=Parametres!$G$2,$Q564=Parametres!$G$3),K564,E564)</f>
        <v>0</v>
      </c>
      <c r="Q564" s="154">
        <f t="shared" si="42"/>
        <v>0</v>
      </c>
      <c r="R564" s="153">
        <f t="shared" si="43"/>
        <v>0</v>
      </c>
      <c r="S564" s="154">
        <f t="shared" si="44"/>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hidden="1" customHeight="1">
      <c r="A565" s="150"/>
      <c r="B565" s="150"/>
      <c r="C565" s="151"/>
      <c r="D565" s="151"/>
      <c r="E565" s="151"/>
      <c r="F565" s="150"/>
      <c r="G565" s="150"/>
      <c r="H565" s="150"/>
      <c r="I565" s="157"/>
      <c r="J565" s="157"/>
      <c r="K565" s="157"/>
      <c r="L565" s="153">
        <f t="shared" si="40"/>
        <v>0</v>
      </c>
      <c r="M565" s="154">
        <f t="shared" si="41"/>
        <v>0</v>
      </c>
      <c r="N565" s="155">
        <f>+IF(OR($Q565=Parametres!$G$2,$Q565=Parametres!$G$3),I565,C565)</f>
        <v>0</v>
      </c>
      <c r="O565" s="1122">
        <f>+IF(OR($Q565=Parametres!$G$2,$Q565=Parametres!$G$3),J565,D565)</f>
        <v>0</v>
      </c>
      <c r="P565" s="155">
        <f>+IF(OR($Q565=Parametres!$G$2,$Q565=Parametres!$G$3),K565,E565)</f>
        <v>0</v>
      </c>
      <c r="Q565" s="154">
        <f t="shared" si="42"/>
        <v>0</v>
      </c>
      <c r="R565" s="153">
        <f t="shared" si="43"/>
        <v>0</v>
      </c>
      <c r="S565" s="154">
        <f t="shared" si="44"/>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75" hidden="1" customHeight="1">
      <c r="A566" s="150"/>
      <c r="B566" s="150"/>
      <c r="C566" s="151"/>
      <c r="D566" s="151"/>
      <c r="E566" s="151"/>
      <c r="F566" s="150"/>
      <c r="G566" s="150"/>
      <c r="H566" s="150"/>
      <c r="I566" s="157"/>
      <c r="J566" s="157"/>
      <c r="K566" s="157"/>
      <c r="L566" s="153">
        <f t="shared" si="40"/>
        <v>0</v>
      </c>
      <c r="M566" s="154">
        <f t="shared" si="41"/>
        <v>0</v>
      </c>
      <c r="N566" s="155">
        <f>+IF(OR($Q566=Parametres!$G$2,$Q566=Parametres!$G$3),I566,C566)</f>
        <v>0</v>
      </c>
      <c r="O566" s="1122">
        <f>+IF(OR($Q566=Parametres!$G$2,$Q566=Parametres!$G$3),J566,D566)</f>
        <v>0</v>
      </c>
      <c r="P566" s="155">
        <f>+IF(OR($Q566=Parametres!$G$2,$Q566=Parametres!$G$3),K566,E566)</f>
        <v>0</v>
      </c>
      <c r="Q566" s="154">
        <f t="shared" si="42"/>
        <v>0</v>
      </c>
      <c r="R566" s="153">
        <f t="shared" si="43"/>
        <v>0</v>
      </c>
      <c r="S566" s="154">
        <f t="shared" si="44"/>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 hidden="1" customHeight="1">
      <c r="A567" s="150"/>
      <c r="B567" s="150"/>
      <c r="C567" s="151"/>
      <c r="D567" s="151"/>
      <c r="E567" s="151"/>
      <c r="F567" s="150"/>
      <c r="G567" s="150"/>
      <c r="H567" s="150"/>
      <c r="I567" s="157"/>
      <c r="J567" s="157"/>
      <c r="K567" s="157"/>
      <c r="L567" s="153">
        <f t="shared" si="40"/>
        <v>0</v>
      </c>
      <c r="M567" s="154">
        <f t="shared" si="41"/>
        <v>0</v>
      </c>
      <c r="N567" s="155">
        <f>+IF(OR($Q567=Parametres!$G$2,$Q567=Parametres!$G$3),I567,C567)</f>
        <v>0</v>
      </c>
      <c r="O567" s="1122">
        <f>+IF(OR($Q567=Parametres!$G$2,$Q567=Parametres!$G$3),J567,D567)</f>
        <v>0</v>
      </c>
      <c r="P567" s="155">
        <f>+IF(OR($Q567=Parametres!$G$2,$Q567=Parametres!$G$3),K567,E567)</f>
        <v>0</v>
      </c>
      <c r="Q567" s="154">
        <f t="shared" si="42"/>
        <v>0</v>
      </c>
      <c r="R567" s="153">
        <f t="shared" si="43"/>
        <v>0</v>
      </c>
      <c r="S567" s="154">
        <f t="shared" si="44"/>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hidden="1" customHeight="1">
      <c r="A568" s="150"/>
      <c r="B568" s="150"/>
      <c r="C568" s="151"/>
      <c r="D568" s="151"/>
      <c r="E568" s="151"/>
      <c r="F568" s="150"/>
      <c r="G568" s="150"/>
      <c r="H568" s="150"/>
      <c r="I568" s="157"/>
      <c r="J568" s="157"/>
      <c r="K568" s="157"/>
      <c r="L568" s="153">
        <f t="shared" si="40"/>
        <v>0</v>
      </c>
      <c r="M568" s="154">
        <f t="shared" si="41"/>
        <v>0</v>
      </c>
      <c r="N568" s="155">
        <f>+IF(OR($Q568=Parametres!$G$2,$Q568=Parametres!$G$3),I568,C568)</f>
        <v>0</v>
      </c>
      <c r="O568" s="1122">
        <f>+IF(OR($Q568=Parametres!$G$2,$Q568=Parametres!$G$3),J568,D568)</f>
        <v>0</v>
      </c>
      <c r="P568" s="155">
        <f>+IF(OR($Q568=Parametres!$G$2,$Q568=Parametres!$G$3),K568,E568)</f>
        <v>0</v>
      </c>
      <c r="Q568" s="154">
        <f t="shared" si="42"/>
        <v>0</v>
      </c>
      <c r="R568" s="153">
        <f t="shared" si="43"/>
        <v>0</v>
      </c>
      <c r="S568" s="154">
        <f t="shared" si="44"/>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hidden="1" customHeight="1">
      <c r="A569" s="150"/>
      <c r="B569" s="150"/>
      <c r="C569" s="151"/>
      <c r="D569" s="151"/>
      <c r="E569" s="151"/>
      <c r="F569" s="150"/>
      <c r="G569" s="150"/>
      <c r="H569" s="150"/>
      <c r="I569" s="157"/>
      <c r="J569" s="157"/>
      <c r="K569" s="157"/>
      <c r="L569" s="153">
        <f t="shared" si="40"/>
        <v>0</v>
      </c>
      <c r="M569" s="154">
        <f t="shared" si="41"/>
        <v>0</v>
      </c>
      <c r="N569" s="155">
        <f>+IF(OR($Q569=Parametres!$G$2,$Q569=Parametres!$G$3),I569,C569)</f>
        <v>0</v>
      </c>
      <c r="O569" s="1122">
        <f>+IF(OR($Q569=Parametres!$G$2,$Q569=Parametres!$G$3),J569,D569)</f>
        <v>0</v>
      </c>
      <c r="P569" s="155">
        <f>+IF(OR($Q569=Parametres!$G$2,$Q569=Parametres!$G$3),K569,E569)</f>
        <v>0</v>
      </c>
      <c r="Q569" s="154">
        <f t="shared" si="42"/>
        <v>0</v>
      </c>
      <c r="R569" s="153">
        <f t="shared" si="43"/>
        <v>0</v>
      </c>
      <c r="S569" s="154">
        <f t="shared" si="44"/>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hidden="1" customHeight="1">
      <c r="A570" s="150"/>
      <c r="B570" s="150"/>
      <c r="C570" s="151"/>
      <c r="D570" s="151"/>
      <c r="E570" s="151"/>
      <c r="F570" s="150"/>
      <c r="G570" s="150"/>
      <c r="H570" s="150"/>
      <c r="I570" s="157"/>
      <c r="J570" s="157"/>
      <c r="K570" s="157"/>
      <c r="L570" s="153">
        <f t="shared" si="40"/>
        <v>0</v>
      </c>
      <c r="M570" s="154">
        <f t="shared" si="41"/>
        <v>0</v>
      </c>
      <c r="N570" s="155">
        <f>+IF(OR($Q570=Parametres!$G$2,$Q570=Parametres!$G$3),I570,C570)</f>
        <v>0</v>
      </c>
      <c r="O570" s="1122">
        <f>+IF(OR($Q570=Parametres!$G$2,$Q570=Parametres!$G$3),J570,D570)</f>
        <v>0</v>
      </c>
      <c r="P570" s="155">
        <f>+IF(OR($Q570=Parametres!$G$2,$Q570=Parametres!$G$3),K570,E570)</f>
        <v>0</v>
      </c>
      <c r="Q570" s="154">
        <f t="shared" si="42"/>
        <v>0</v>
      </c>
      <c r="R570" s="153">
        <f t="shared" si="43"/>
        <v>0</v>
      </c>
      <c r="S570" s="154">
        <f t="shared" si="44"/>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75" hidden="1" customHeight="1">
      <c r="A571" s="150"/>
      <c r="B571" s="150"/>
      <c r="C571" s="151"/>
      <c r="D571" s="151"/>
      <c r="E571" s="151"/>
      <c r="F571" s="150"/>
      <c r="G571" s="150"/>
      <c r="H571" s="150"/>
      <c r="I571" s="157"/>
      <c r="J571" s="157"/>
      <c r="K571" s="157"/>
      <c r="L571" s="153">
        <f t="shared" si="40"/>
        <v>0</v>
      </c>
      <c r="M571" s="154">
        <f t="shared" si="41"/>
        <v>0</v>
      </c>
      <c r="N571" s="155">
        <f>+IF(OR($Q571=Parametres!$G$2,$Q571=Parametres!$G$3),I571,C571)</f>
        <v>0</v>
      </c>
      <c r="O571" s="1122">
        <f>+IF(OR($Q571=Parametres!$G$2,$Q571=Parametres!$G$3),J571,D571)</f>
        <v>0</v>
      </c>
      <c r="P571" s="155">
        <f>+IF(OR($Q571=Parametres!$G$2,$Q571=Parametres!$G$3),K571,E571)</f>
        <v>0</v>
      </c>
      <c r="Q571" s="154">
        <f t="shared" si="42"/>
        <v>0</v>
      </c>
      <c r="R571" s="153">
        <f t="shared" si="43"/>
        <v>0</v>
      </c>
      <c r="S571" s="154">
        <f t="shared" si="44"/>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 hidden="1" customHeight="1">
      <c r="A572" s="150"/>
      <c r="B572" s="150"/>
      <c r="C572" s="151"/>
      <c r="D572" s="151"/>
      <c r="E572" s="151"/>
      <c r="F572" s="150"/>
      <c r="G572" s="150"/>
      <c r="H572" s="150"/>
      <c r="I572" s="157"/>
      <c r="J572" s="157"/>
      <c r="K572" s="157"/>
      <c r="L572" s="153">
        <f t="shared" si="40"/>
        <v>0</v>
      </c>
      <c r="M572" s="154">
        <f t="shared" si="41"/>
        <v>0</v>
      </c>
      <c r="N572" s="155">
        <f>+IF(OR($Q572=Parametres!$G$2,$Q572=Parametres!$G$3),I572,C572)</f>
        <v>0</v>
      </c>
      <c r="O572" s="1122">
        <f>+IF(OR($Q572=Parametres!$G$2,$Q572=Parametres!$G$3),J572,D572)</f>
        <v>0</v>
      </c>
      <c r="P572" s="155">
        <f>+IF(OR($Q572=Parametres!$G$2,$Q572=Parametres!$G$3),K572,E572)</f>
        <v>0</v>
      </c>
      <c r="Q572" s="154">
        <f t="shared" si="42"/>
        <v>0</v>
      </c>
      <c r="R572" s="153">
        <f t="shared" si="43"/>
        <v>0</v>
      </c>
      <c r="S572" s="154">
        <f t="shared" si="44"/>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hidden="1" customHeight="1">
      <c r="A573" s="150"/>
      <c r="B573" s="150"/>
      <c r="C573" s="151"/>
      <c r="D573" s="151"/>
      <c r="E573" s="151"/>
      <c r="F573" s="150"/>
      <c r="G573" s="150"/>
      <c r="H573" s="150"/>
      <c r="I573" s="157"/>
      <c r="J573" s="157"/>
      <c r="K573" s="157"/>
      <c r="L573" s="153">
        <f t="shared" si="40"/>
        <v>0</v>
      </c>
      <c r="M573" s="154">
        <f t="shared" si="41"/>
        <v>0</v>
      </c>
      <c r="N573" s="155">
        <f>+IF(OR($Q573=Parametres!$G$2,$Q573=Parametres!$G$3),I573,C573)</f>
        <v>0</v>
      </c>
      <c r="O573" s="1122">
        <f>+IF(OR($Q573=Parametres!$G$2,$Q573=Parametres!$G$3),J573,D573)</f>
        <v>0</v>
      </c>
      <c r="P573" s="155">
        <f>+IF(OR($Q573=Parametres!$G$2,$Q573=Parametres!$G$3),K573,E573)</f>
        <v>0</v>
      </c>
      <c r="Q573" s="154">
        <f t="shared" si="42"/>
        <v>0</v>
      </c>
      <c r="R573" s="153">
        <f t="shared" si="43"/>
        <v>0</v>
      </c>
      <c r="S573" s="154">
        <f t="shared" si="44"/>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hidden="1" customHeight="1">
      <c r="A574" s="150"/>
      <c r="B574" s="150"/>
      <c r="C574" s="151"/>
      <c r="D574" s="151"/>
      <c r="E574" s="151"/>
      <c r="F574" s="150"/>
      <c r="G574" s="150"/>
      <c r="H574" s="150"/>
      <c r="I574" s="157"/>
      <c r="J574" s="157"/>
      <c r="K574" s="157"/>
      <c r="L574" s="153">
        <f t="shared" si="40"/>
        <v>0</v>
      </c>
      <c r="M574" s="154">
        <f t="shared" si="41"/>
        <v>0</v>
      </c>
      <c r="N574" s="155">
        <f>+IF(OR($Q574=Parametres!$G$2,$Q574=Parametres!$G$3),I574,C574)</f>
        <v>0</v>
      </c>
      <c r="O574" s="1122">
        <f>+IF(OR($Q574=Parametres!$G$2,$Q574=Parametres!$G$3),J574,D574)</f>
        <v>0</v>
      </c>
      <c r="P574" s="155">
        <f>+IF(OR($Q574=Parametres!$G$2,$Q574=Parametres!$G$3),K574,E574)</f>
        <v>0</v>
      </c>
      <c r="Q574" s="154">
        <f t="shared" si="42"/>
        <v>0</v>
      </c>
      <c r="R574" s="153">
        <f t="shared" si="43"/>
        <v>0</v>
      </c>
      <c r="S574" s="154">
        <f t="shared" si="44"/>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hidden="1" customHeight="1">
      <c r="A575" s="150"/>
      <c r="B575" s="150"/>
      <c r="C575" s="151"/>
      <c r="D575" s="151"/>
      <c r="E575" s="151"/>
      <c r="F575" s="150"/>
      <c r="G575" s="150"/>
      <c r="H575" s="150"/>
      <c r="I575" s="157"/>
      <c r="J575" s="157"/>
      <c r="K575" s="157"/>
      <c r="L575" s="153">
        <f t="shared" si="40"/>
        <v>0</v>
      </c>
      <c r="M575" s="154">
        <f t="shared" si="41"/>
        <v>0</v>
      </c>
      <c r="N575" s="155">
        <f>+IF(OR($Q575=Parametres!$G$2,$Q575=Parametres!$G$3),I575,C575)</f>
        <v>0</v>
      </c>
      <c r="O575" s="1122">
        <f>+IF(OR($Q575=Parametres!$G$2,$Q575=Parametres!$G$3),J575,D575)</f>
        <v>0</v>
      </c>
      <c r="P575" s="155">
        <f>+IF(OR($Q575=Parametres!$G$2,$Q575=Parametres!$G$3),K575,E575)</f>
        <v>0</v>
      </c>
      <c r="Q575" s="154">
        <f t="shared" si="42"/>
        <v>0</v>
      </c>
      <c r="R575" s="153">
        <f t="shared" si="43"/>
        <v>0</v>
      </c>
      <c r="S575" s="154">
        <f t="shared" si="44"/>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40"/>
        <v>0</v>
      </c>
      <c r="M576" s="154">
        <f t="shared" si="41"/>
        <v>0</v>
      </c>
      <c r="N576" s="155">
        <f>+IF(OR($Q576=Parametres!$G$2,$Q576=Parametres!$G$3),I576,C576)</f>
        <v>0</v>
      </c>
      <c r="O576" s="1122">
        <f>+IF(OR($Q576=Parametres!$G$2,$Q576=Parametres!$G$3),J576,D576)</f>
        <v>0</v>
      </c>
      <c r="P576" s="155">
        <f>+IF(OR($Q576=Parametres!$G$2,$Q576=Parametres!$G$3),K576,E576)</f>
        <v>0</v>
      </c>
      <c r="Q576" s="154">
        <f t="shared" si="42"/>
        <v>0</v>
      </c>
      <c r="R576" s="153">
        <f t="shared" si="43"/>
        <v>0</v>
      </c>
      <c r="S576" s="154">
        <f t="shared" si="44"/>
        <v>0</v>
      </c>
      <c r="T576" s="156" t="e">
        <f>+VLOOKUP($L576,Data_Validation!$A:$D,1,0)</f>
        <v>#N/A</v>
      </c>
      <c r="U576" s="156" t="e">
        <f>+VLOOKUP($L576,Data_Validation!$A:$D,3,0)</f>
        <v>#N/A</v>
      </c>
      <c r="V576" s="156" t="e">
        <f>+VLOOKUP($L576,Data_Validation!$A:$D,4,0)</f>
        <v>#N/A</v>
      </c>
      <c r="W576" s="156" t="e">
        <f>+VLOOKUP($L576,Data_Validation!$A:$E,5,0)</f>
        <v>#N/A</v>
      </c>
      <c r="X576" s="156" t="e">
        <f>+VLOOKUP($L576,Data_Validation!$A:$F,6,0)</f>
        <v>#N/A</v>
      </c>
    </row>
    <row r="577" spans="1:24" ht="15" hidden="1" customHeight="1">
      <c r="A577" s="150"/>
      <c r="B577" s="150"/>
      <c r="C577" s="151"/>
      <c r="D577" s="151"/>
      <c r="E577" s="151"/>
      <c r="F577" s="150"/>
      <c r="G577" s="150"/>
      <c r="H577" s="150"/>
      <c r="I577" s="157"/>
      <c r="J577" s="157"/>
      <c r="K577" s="157"/>
      <c r="L577" s="153">
        <f t="shared" si="40"/>
        <v>0</v>
      </c>
      <c r="M577" s="154">
        <f t="shared" si="41"/>
        <v>0</v>
      </c>
      <c r="N577" s="155">
        <f>+IF(OR($Q577=Parametres!$G$2,$Q577=Parametres!$G$3),I577,C577)</f>
        <v>0</v>
      </c>
      <c r="O577" s="1122">
        <f>+IF(OR($Q577=Parametres!$G$2,$Q577=Parametres!$G$3),J577,D577)</f>
        <v>0</v>
      </c>
      <c r="P577" s="155">
        <f>+IF(OR($Q577=Parametres!$G$2,$Q577=Parametres!$G$3),K577,E577)</f>
        <v>0</v>
      </c>
      <c r="Q577" s="154">
        <f t="shared" si="42"/>
        <v>0</v>
      </c>
      <c r="R577" s="153">
        <f t="shared" si="43"/>
        <v>0</v>
      </c>
      <c r="S577" s="154">
        <f t="shared" si="44"/>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75" hidden="1" customHeight="1">
      <c r="A578" s="150"/>
      <c r="B578" s="150"/>
      <c r="C578" s="151"/>
      <c r="D578" s="151"/>
      <c r="E578" s="151"/>
      <c r="F578" s="150"/>
      <c r="G578" s="150"/>
      <c r="H578" s="150"/>
      <c r="I578" s="157"/>
      <c r="J578" s="157"/>
      <c r="K578" s="157"/>
      <c r="L578" s="153">
        <f t="shared" ref="L578:L641" si="45">+B578</f>
        <v>0</v>
      </c>
      <c r="M578" s="154">
        <f t="shared" ref="M578:M641" si="46">+A578</f>
        <v>0</v>
      </c>
      <c r="N578" s="155">
        <f>+IF(OR($Q578=Parametres!$G$2,$Q578=Parametres!$G$3),I578,C578)</f>
        <v>0</v>
      </c>
      <c r="O578" s="1122">
        <f>+IF(OR($Q578=Parametres!$G$2,$Q578=Parametres!$G$3),J578,D578)</f>
        <v>0</v>
      </c>
      <c r="P578" s="155">
        <f>+IF(OR($Q578=Parametres!$G$2,$Q578=Parametres!$G$3),K578,E578)</f>
        <v>0</v>
      </c>
      <c r="Q578" s="154">
        <f t="shared" ref="Q578:Q641" si="47">+F578</f>
        <v>0</v>
      </c>
      <c r="R578" s="153">
        <f t="shared" ref="R578:R641" si="48">+G578</f>
        <v>0</v>
      </c>
      <c r="S578" s="154">
        <f t="shared" ref="S578:S641" si="49">+H578</f>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 hidden="1" customHeight="1">
      <c r="A579" s="150"/>
      <c r="B579" s="150"/>
      <c r="C579" s="151"/>
      <c r="D579" s="151"/>
      <c r="E579" s="151"/>
      <c r="F579" s="150"/>
      <c r="G579" s="150"/>
      <c r="H579" s="150"/>
      <c r="I579" s="157"/>
      <c r="J579" s="157"/>
      <c r="K579" s="157"/>
      <c r="L579" s="153">
        <f t="shared" si="45"/>
        <v>0</v>
      </c>
      <c r="M579" s="154">
        <f t="shared" si="46"/>
        <v>0</v>
      </c>
      <c r="N579" s="155">
        <f>+IF(OR($Q579=Parametres!$G$2,$Q579=Parametres!$G$3),I579,C579)</f>
        <v>0</v>
      </c>
      <c r="O579" s="1122">
        <f>+IF(OR($Q579=Parametres!$G$2,$Q579=Parametres!$G$3),J579,D579)</f>
        <v>0</v>
      </c>
      <c r="P579" s="155">
        <f>+IF(OR($Q579=Parametres!$G$2,$Q579=Parametres!$G$3),K579,E579)</f>
        <v>0</v>
      </c>
      <c r="Q579" s="154">
        <f t="shared" si="47"/>
        <v>0</v>
      </c>
      <c r="R579" s="153">
        <f t="shared" si="48"/>
        <v>0</v>
      </c>
      <c r="S579" s="154">
        <f t="shared" si="49"/>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hidden="1" customHeight="1">
      <c r="A580" s="150"/>
      <c r="B580" s="150"/>
      <c r="C580" s="151"/>
      <c r="D580" s="151"/>
      <c r="E580" s="151"/>
      <c r="F580" s="150"/>
      <c r="G580" s="150"/>
      <c r="H580" s="150"/>
      <c r="I580" s="157"/>
      <c r="J580" s="157"/>
      <c r="K580" s="157"/>
      <c r="L580" s="153">
        <f t="shared" si="45"/>
        <v>0</v>
      </c>
      <c r="M580" s="154">
        <f t="shared" si="46"/>
        <v>0</v>
      </c>
      <c r="N580" s="155">
        <f>+IF(OR($Q580=Parametres!$G$2,$Q580=Parametres!$G$3),I580,C580)</f>
        <v>0</v>
      </c>
      <c r="O580" s="1122">
        <f>+IF(OR($Q580=Parametres!$G$2,$Q580=Parametres!$G$3),J580,D580)</f>
        <v>0</v>
      </c>
      <c r="P580" s="155">
        <f>+IF(OR($Q580=Parametres!$G$2,$Q580=Parametres!$G$3),K580,E580)</f>
        <v>0</v>
      </c>
      <c r="Q580" s="154">
        <f t="shared" si="47"/>
        <v>0</v>
      </c>
      <c r="R580" s="153">
        <f t="shared" si="48"/>
        <v>0</v>
      </c>
      <c r="S580" s="154">
        <f t="shared" si="49"/>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hidden="1" customHeight="1">
      <c r="A581" s="150"/>
      <c r="B581" s="150"/>
      <c r="C581" s="151"/>
      <c r="D581" s="151"/>
      <c r="E581" s="151"/>
      <c r="F581" s="150"/>
      <c r="G581" s="150"/>
      <c r="H581" s="150"/>
      <c r="I581" s="157"/>
      <c r="J581" s="157"/>
      <c r="K581" s="157"/>
      <c r="L581" s="153">
        <f t="shared" si="45"/>
        <v>0</v>
      </c>
      <c r="M581" s="154">
        <f t="shared" si="46"/>
        <v>0</v>
      </c>
      <c r="N581" s="155">
        <f>+IF(OR($Q581=Parametres!$G$2,$Q581=Parametres!$G$3),I581,C581)</f>
        <v>0</v>
      </c>
      <c r="O581" s="1122">
        <f>+IF(OR($Q581=Parametres!$G$2,$Q581=Parametres!$G$3),J581,D581)</f>
        <v>0</v>
      </c>
      <c r="P581" s="155">
        <f>+IF(OR($Q581=Parametres!$G$2,$Q581=Parametres!$G$3),K581,E581)</f>
        <v>0</v>
      </c>
      <c r="Q581" s="154">
        <f t="shared" si="47"/>
        <v>0</v>
      </c>
      <c r="R581" s="153">
        <f t="shared" si="48"/>
        <v>0</v>
      </c>
      <c r="S581" s="154">
        <f t="shared" si="49"/>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75" hidden="1" customHeight="1">
      <c r="A582" s="150"/>
      <c r="B582" s="150"/>
      <c r="C582" s="151"/>
      <c r="D582" s="151"/>
      <c r="E582" s="151"/>
      <c r="F582" s="150"/>
      <c r="G582" s="150"/>
      <c r="H582" s="150"/>
      <c r="I582" s="157"/>
      <c r="J582" s="157"/>
      <c r="K582" s="157"/>
      <c r="L582" s="153">
        <f t="shared" si="45"/>
        <v>0</v>
      </c>
      <c r="M582" s="154">
        <f t="shared" si="46"/>
        <v>0</v>
      </c>
      <c r="N582" s="155">
        <f>+IF(OR($Q582=Parametres!$G$2,$Q582=Parametres!$G$3),I582,C582)</f>
        <v>0</v>
      </c>
      <c r="O582" s="1122">
        <f>+IF(OR($Q582=Parametres!$G$2,$Q582=Parametres!$G$3),J582,D582)</f>
        <v>0</v>
      </c>
      <c r="P582" s="155">
        <f>+IF(OR($Q582=Parametres!$G$2,$Q582=Parametres!$G$3),K582,E582)</f>
        <v>0</v>
      </c>
      <c r="Q582" s="154">
        <f t="shared" si="47"/>
        <v>0</v>
      </c>
      <c r="R582" s="153">
        <f t="shared" si="48"/>
        <v>0</v>
      </c>
      <c r="S582" s="154">
        <f t="shared" si="49"/>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 hidden="1" customHeight="1">
      <c r="A583" s="150"/>
      <c r="B583" s="150"/>
      <c r="C583" s="151"/>
      <c r="D583" s="151"/>
      <c r="E583" s="151"/>
      <c r="F583" s="150"/>
      <c r="G583" s="150"/>
      <c r="H583" s="150"/>
      <c r="I583" s="157"/>
      <c r="J583" s="157"/>
      <c r="K583" s="157"/>
      <c r="L583" s="153">
        <f t="shared" si="45"/>
        <v>0</v>
      </c>
      <c r="M583" s="154">
        <f t="shared" si="46"/>
        <v>0</v>
      </c>
      <c r="N583" s="155">
        <f>+IF(OR($Q583=Parametres!$G$2,$Q583=Parametres!$G$3),I583,C583)</f>
        <v>0</v>
      </c>
      <c r="O583" s="1122">
        <f>+IF(OR($Q583=Parametres!$G$2,$Q583=Parametres!$G$3),J583,D583)</f>
        <v>0</v>
      </c>
      <c r="P583" s="155">
        <f>+IF(OR($Q583=Parametres!$G$2,$Q583=Parametres!$G$3),K583,E583)</f>
        <v>0</v>
      </c>
      <c r="Q583" s="154">
        <f t="shared" si="47"/>
        <v>0</v>
      </c>
      <c r="R583" s="153">
        <f t="shared" si="48"/>
        <v>0</v>
      </c>
      <c r="S583" s="154">
        <f t="shared" si="49"/>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hidden="1" customHeight="1">
      <c r="A584" s="150"/>
      <c r="B584" s="150"/>
      <c r="C584" s="151"/>
      <c r="D584" s="151"/>
      <c r="E584" s="151"/>
      <c r="F584" s="150"/>
      <c r="G584" s="150"/>
      <c r="H584" s="150"/>
      <c r="I584" s="157"/>
      <c r="J584" s="157"/>
      <c r="K584" s="157"/>
      <c r="L584" s="153">
        <f t="shared" si="45"/>
        <v>0</v>
      </c>
      <c r="M584" s="154">
        <f t="shared" si="46"/>
        <v>0</v>
      </c>
      <c r="N584" s="155">
        <f>+IF(OR($Q584=Parametres!$G$2,$Q584=Parametres!$G$3),I584,C584)</f>
        <v>0</v>
      </c>
      <c r="O584" s="1122">
        <f>+IF(OR($Q584=Parametres!$G$2,$Q584=Parametres!$G$3),J584,D584)</f>
        <v>0</v>
      </c>
      <c r="P584" s="155">
        <f>+IF(OR($Q584=Parametres!$G$2,$Q584=Parametres!$G$3),K584,E584)</f>
        <v>0</v>
      </c>
      <c r="Q584" s="154">
        <f t="shared" si="47"/>
        <v>0</v>
      </c>
      <c r="R584" s="153">
        <f t="shared" si="48"/>
        <v>0</v>
      </c>
      <c r="S584" s="154">
        <f t="shared" si="49"/>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hidden="1" customHeight="1">
      <c r="A585" s="150"/>
      <c r="B585" s="150"/>
      <c r="C585" s="151"/>
      <c r="D585" s="151"/>
      <c r="E585" s="151"/>
      <c r="F585" s="150"/>
      <c r="G585" s="150"/>
      <c r="H585" s="150"/>
      <c r="I585" s="157"/>
      <c r="J585" s="157"/>
      <c r="K585" s="157"/>
      <c r="L585" s="153">
        <f t="shared" si="45"/>
        <v>0</v>
      </c>
      <c r="M585" s="154">
        <f t="shared" si="46"/>
        <v>0</v>
      </c>
      <c r="N585" s="155">
        <f>+IF(OR($Q585=Parametres!$G$2,$Q585=Parametres!$G$3),I585,C585)</f>
        <v>0</v>
      </c>
      <c r="O585" s="1122">
        <f>+IF(OR($Q585=Parametres!$G$2,$Q585=Parametres!$G$3),J585,D585)</f>
        <v>0</v>
      </c>
      <c r="P585" s="155">
        <f>+IF(OR($Q585=Parametres!$G$2,$Q585=Parametres!$G$3),K585,E585)</f>
        <v>0</v>
      </c>
      <c r="Q585" s="154">
        <f t="shared" si="47"/>
        <v>0</v>
      </c>
      <c r="R585" s="153">
        <f t="shared" si="48"/>
        <v>0</v>
      </c>
      <c r="S585" s="154">
        <f t="shared" si="49"/>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hidden="1" customHeight="1">
      <c r="A586" s="150"/>
      <c r="B586" s="150"/>
      <c r="C586" s="151"/>
      <c r="D586" s="151"/>
      <c r="E586" s="151"/>
      <c r="F586" s="150"/>
      <c r="G586" s="150"/>
      <c r="H586" s="150"/>
      <c r="I586" s="157"/>
      <c r="J586" s="157"/>
      <c r="K586" s="157"/>
      <c r="L586" s="153">
        <f t="shared" si="45"/>
        <v>0</v>
      </c>
      <c r="M586" s="154">
        <f t="shared" si="46"/>
        <v>0</v>
      </c>
      <c r="N586" s="155">
        <f>+IF(OR($Q586=Parametres!$G$2,$Q586=Parametres!$G$3),I586,C586)</f>
        <v>0</v>
      </c>
      <c r="O586" s="1122">
        <f>+IF(OR($Q586=Parametres!$G$2,$Q586=Parametres!$G$3),J586,D586)</f>
        <v>0</v>
      </c>
      <c r="P586" s="155">
        <f>+IF(OR($Q586=Parametres!$G$2,$Q586=Parametres!$G$3),K586,E586)</f>
        <v>0</v>
      </c>
      <c r="Q586" s="154">
        <f t="shared" si="47"/>
        <v>0</v>
      </c>
      <c r="R586" s="153">
        <f t="shared" si="48"/>
        <v>0</v>
      </c>
      <c r="S586" s="154">
        <f t="shared" si="49"/>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hidden="1" customHeight="1">
      <c r="A587" s="150"/>
      <c r="B587" s="150"/>
      <c r="C587" s="151"/>
      <c r="D587" s="151"/>
      <c r="E587" s="151"/>
      <c r="F587" s="150"/>
      <c r="G587" s="150"/>
      <c r="H587" s="150"/>
      <c r="I587" s="157"/>
      <c r="J587" s="157"/>
      <c r="K587" s="157"/>
      <c r="L587" s="153">
        <f t="shared" si="45"/>
        <v>0</v>
      </c>
      <c r="M587" s="154">
        <f t="shared" si="46"/>
        <v>0</v>
      </c>
      <c r="N587" s="155">
        <f>+IF(OR($Q587=Parametres!$G$2,$Q587=Parametres!$G$3),I587,C587)</f>
        <v>0</v>
      </c>
      <c r="O587" s="1122">
        <f>+IF(OR($Q587=Parametres!$G$2,$Q587=Parametres!$G$3),J587,D587)</f>
        <v>0</v>
      </c>
      <c r="P587" s="155">
        <f>+IF(OR($Q587=Parametres!$G$2,$Q587=Parametres!$G$3),K587,E587)</f>
        <v>0</v>
      </c>
      <c r="Q587" s="154">
        <f t="shared" si="47"/>
        <v>0</v>
      </c>
      <c r="R587" s="153">
        <f t="shared" si="48"/>
        <v>0</v>
      </c>
      <c r="S587" s="154">
        <f t="shared" si="49"/>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hidden="1" customHeight="1">
      <c r="A588" s="150"/>
      <c r="B588" s="150"/>
      <c r="C588" s="151"/>
      <c r="D588" s="151"/>
      <c r="E588" s="151"/>
      <c r="F588" s="150"/>
      <c r="G588" s="150"/>
      <c r="H588" s="150"/>
      <c r="I588" s="157"/>
      <c r="J588" s="157"/>
      <c r="K588" s="157"/>
      <c r="L588" s="153">
        <f t="shared" si="45"/>
        <v>0</v>
      </c>
      <c r="M588" s="154">
        <f t="shared" si="46"/>
        <v>0</v>
      </c>
      <c r="N588" s="155">
        <f>+IF(OR($Q588=Parametres!$G$2,$Q588=Parametres!$G$3),I588,C588)</f>
        <v>0</v>
      </c>
      <c r="O588" s="1122">
        <f>+IF(OR($Q588=Parametres!$G$2,$Q588=Parametres!$G$3),J588,D588)</f>
        <v>0</v>
      </c>
      <c r="P588" s="155">
        <f>+IF(OR($Q588=Parametres!$G$2,$Q588=Parametres!$G$3),K588,E588)</f>
        <v>0</v>
      </c>
      <c r="Q588" s="154">
        <f t="shared" si="47"/>
        <v>0</v>
      </c>
      <c r="R588" s="153">
        <f t="shared" si="48"/>
        <v>0</v>
      </c>
      <c r="S588" s="154">
        <f t="shared" si="49"/>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hidden="1" customHeight="1">
      <c r="A589" s="150"/>
      <c r="B589" s="150"/>
      <c r="C589" s="151"/>
      <c r="D589" s="151"/>
      <c r="E589" s="151"/>
      <c r="F589" s="150"/>
      <c r="G589" s="150"/>
      <c r="H589" s="150"/>
      <c r="I589" s="157"/>
      <c r="J589" s="157"/>
      <c r="K589" s="157"/>
      <c r="L589" s="153">
        <f t="shared" si="45"/>
        <v>0</v>
      </c>
      <c r="M589" s="154">
        <f t="shared" si="46"/>
        <v>0</v>
      </c>
      <c r="N589" s="155">
        <f>+IF(OR($Q589=Parametres!$G$2,$Q589=Parametres!$G$3),I589,C589)</f>
        <v>0</v>
      </c>
      <c r="O589" s="1122">
        <f>+IF(OR($Q589=Parametres!$G$2,$Q589=Parametres!$G$3),J589,D589)</f>
        <v>0</v>
      </c>
      <c r="P589" s="155">
        <f>+IF(OR($Q589=Parametres!$G$2,$Q589=Parametres!$G$3),K589,E589)</f>
        <v>0</v>
      </c>
      <c r="Q589" s="154">
        <f t="shared" si="47"/>
        <v>0</v>
      </c>
      <c r="R589" s="153">
        <f t="shared" si="48"/>
        <v>0</v>
      </c>
      <c r="S589" s="154">
        <f t="shared" si="49"/>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hidden="1" customHeight="1">
      <c r="A590" s="150"/>
      <c r="B590" s="150"/>
      <c r="C590" s="151"/>
      <c r="D590" s="151"/>
      <c r="E590" s="151"/>
      <c r="F590" s="150"/>
      <c r="G590" s="150"/>
      <c r="H590" s="150"/>
      <c r="I590" s="157"/>
      <c r="J590" s="157"/>
      <c r="K590" s="157"/>
      <c r="L590" s="153">
        <f t="shared" si="45"/>
        <v>0</v>
      </c>
      <c r="M590" s="154">
        <f t="shared" si="46"/>
        <v>0</v>
      </c>
      <c r="N590" s="155">
        <f>+IF(OR($Q590=Parametres!$G$2,$Q590=Parametres!$G$3),I590,C590)</f>
        <v>0</v>
      </c>
      <c r="O590" s="1122">
        <f>+IF(OR($Q590=Parametres!$G$2,$Q590=Parametres!$G$3),J590,D590)</f>
        <v>0</v>
      </c>
      <c r="P590" s="155">
        <f>+IF(OR($Q590=Parametres!$G$2,$Q590=Parametres!$G$3),K590,E590)</f>
        <v>0</v>
      </c>
      <c r="Q590" s="154">
        <f t="shared" si="47"/>
        <v>0</v>
      </c>
      <c r="R590" s="153">
        <f t="shared" si="48"/>
        <v>0</v>
      </c>
      <c r="S590" s="154">
        <f t="shared" si="49"/>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hidden="1" customHeight="1">
      <c r="A591" s="150"/>
      <c r="B591" s="150"/>
      <c r="C591" s="151"/>
      <c r="D591" s="151"/>
      <c r="E591" s="151"/>
      <c r="F591" s="150"/>
      <c r="G591" s="150"/>
      <c r="H591" s="150"/>
      <c r="I591" s="157"/>
      <c r="J591" s="157"/>
      <c r="K591" s="157"/>
      <c r="L591" s="153">
        <f t="shared" si="45"/>
        <v>0</v>
      </c>
      <c r="M591" s="154">
        <f t="shared" si="46"/>
        <v>0</v>
      </c>
      <c r="N591" s="155">
        <f>+IF(OR($Q591=Parametres!$G$2,$Q591=Parametres!$G$3),I591,C591)</f>
        <v>0</v>
      </c>
      <c r="O591" s="1122">
        <f>+IF(OR($Q591=Parametres!$G$2,$Q591=Parametres!$G$3),J591,D591)</f>
        <v>0</v>
      </c>
      <c r="P591" s="155">
        <f>+IF(OR($Q591=Parametres!$G$2,$Q591=Parametres!$G$3),K591,E591)</f>
        <v>0</v>
      </c>
      <c r="Q591" s="154">
        <f t="shared" si="47"/>
        <v>0</v>
      </c>
      <c r="R591" s="153">
        <f t="shared" si="48"/>
        <v>0</v>
      </c>
      <c r="S591" s="154">
        <f t="shared" si="49"/>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hidden="1" customHeight="1">
      <c r="A592" s="150"/>
      <c r="B592" s="150"/>
      <c r="C592" s="151"/>
      <c r="D592" s="151"/>
      <c r="E592" s="151"/>
      <c r="F592" s="150"/>
      <c r="G592" s="150"/>
      <c r="H592" s="150"/>
      <c r="I592" s="157"/>
      <c r="J592" s="157"/>
      <c r="K592" s="157"/>
      <c r="L592" s="153">
        <f t="shared" si="45"/>
        <v>0</v>
      </c>
      <c r="M592" s="154">
        <f t="shared" si="46"/>
        <v>0</v>
      </c>
      <c r="N592" s="155">
        <f>+IF(OR($Q592=Parametres!$G$2,$Q592=Parametres!$G$3),I592,C592)</f>
        <v>0</v>
      </c>
      <c r="O592" s="1122">
        <f>+IF(OR($Q592=Parametres!$G$2,$Q592=Parametres!$G$3),J592,D592)</f>
        <v>0</v>
      </c>
      <c r="P592" s="155">
        <f>+IF(OR($Q592=Parametres!$G$2,$Q592=Parametres!$G$3),K592,E592)</f>
        <v>0</v>
      </c>
      <c r="Q592" s="154">
        <f t="shared" si="47"/>
        <v>0</v>
      </c>
      <c r="R592" s="153">
        <f t="shared" si="48"/>
        <v>0</v>
      </c>
      <c r="S592" s="154">
        <f t="shared" si="49"/>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hidden="1" customHeight="1">
      <c r="A593" s="150"/>
      <c r="B593" s="150"/>
      <c r="C593" s="151"/>
      <c r="D593" s="151"/>
      <c r="E593" s="151"/>
      <c r="F593" s="150"/>
      <c r="G593" s="150"/>
      <c r="H593" s="150"/>
      <c r="I593" s="157"/>
      <c r="J593" s="157"/>
      <c r="K593" s="157"/>
      <c r="L593" s="153">
        <f t="shared" si="45"/>
        <v>0</v>
      </c>
      <c r="M593" s="154">
        <f t="shared" si="46"/>
        <v>0</v>
      </c>
      <c r="N593" s="155">
        <f>+IF(OR($Q593=Parametres!$G$2,$Q593=Parametres!$G$3),I593,C593)</f>
        <v>0</v>
      </c>
      <c r="O593" s="1122">
        <f>+IF(OR($Q593=Parametres!$G$2,$Q593=Parametres!$G$3),J593,D593)</f>
        <v>0</v>
      </c>
      <c r="P593" s="155">
        <f>+IF(OR($Q593=Parametres!$G$2,$Q593=Parametres!$G$3),K593,E593)</f>
        <v>0</v>
      </c>
      <c r="Q593" s="154">
        <f t="shared" si="47"/>
        <v>0</v>
      </c>
      <c r="R593" s="153">
        <f t="shared" si="48"/>
        <v>0</v>
      </c>
      <c r="S593" s="154">
        <f t="shared" si="49"/>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hidden="1" customHeight="1">
      <c r="A594" s="150"/>
      <c r="B594" s="150"/>
      <c r="C594" s="151"/>
      <c r="D594" s="151"/>
      <c r="E594" s="151"/>
      <c r="F594" s="150"/>
      <c r="G594" s="150"/>
      <c r="H594" s="150"/>
      <c r="I594" s="157"/>
      <c r="J594" s="157"/>
      <c r="K594" s="157"/>
      <c r="L594" s="153">
        <f t="shared" si="45"/>
        <v>0</v>
      </c>
      <c r="M594" s="154">
        <f t="shared" si="46"/>
        <v>0</v>
      </c>
      <c r="N594" s="155">
        <f>+IF(OR($Q594=Parametres!$G$2,$Q594=Parametres!$G$3),I594,C594)</f>
        <v>0</v>
      </c>
      <c r="O594" s="1122">
        <f>+IF(OR($Q594=Parametres!$G$2,$Q594=Parametres!$G$3),J594,D594)</f>
        <v>0</v>
      </c>
      <c r="P594" s="155">
        <f>+IF(OR($Q594=Parametres!$G$2,$Q594=Parametres!$G$3),K594,E594)</f>
        <v>0</v>
      </c>
      <c r="Q594" s="154">
        <f t="shared" si="47"/>
        <v>0</v>
      </c>
      <c r="R594" s="153">
        <f t="shared" si="48"/>
        <v>0</v>
      </c>
      <c r="S594" s="154">
        <f t="shared" si="49"/>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hidden="1" customHeight="1">
      <c r="A595" s="150"/>
      <c r="B595" s="150"/>
      <c r="C595" s="151"/>
      <c r="D595" s="151"/>
      <c r="E595" s="151"/>
      <c r="F595" s="150"/>
      <c r="G595" s="150"/>
      <c r="H595" s="150"/>
      <c r="I595" s="157"/>
      <c r="J595" s="157"/>
      <c r="K595" s="157"/>
      <c r="L595" s="153">
        <f t="shared" si="45"/>
        <v>0</v>
      </c>
      <c r="M595" s="154">
        <f t="shared" si="46"/>
        <v>0</v>
      </c>
      <c r="N595" s="155">
        <f>+IF(OR($Q595=Parametres!$G$2,$Q595=Parametres!$G$3),I595,C595)</f>
        <v>0</v>
      </c>
      <c r="O595" s="1122">
        <f>+IF(OR($Q595=Parametres!$G$2,$Q595=Parametres!$G$3),J595,D595)</f>
        <v>0</v>
      </c>
      <c r="P595" s="155">
        <f>+IF(OR($Q595=Parametres!$G$2,$Q595=Parametres!$G$3),K595,E595)</f>
        <v>0</v>
      </c>
      <c r="Q595" s="154">
        <f t="shared" si="47"/>
        <v>0</v>
      </c>
      <c r="R595" s="153">
        <f t="shared" si="48"/>
        <v>0</v>
      </c>
      <c r="S595" s="154">
        <f t="shared" si="49"/>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hidden="1" customHeight="1">
      <c r="A596" s="150"/>
      <c r="B596" s="150"/>
      <c r="C596" s="151"/>
      <c r="D596" s="151"/>
      <c r="E596" s="151"/>
      <c r="F596" s="150"/>
      <c r="G596" s="150"/>
      <c r="H596" s="150"/>
      <c r="I596" s="157"/>
      <c r="J596" s="157"/>
      <c r="K596" s="157"/>
      <c r="L596" s="153">
        <f t="shared" si="45"/>
        <v>0</v>
      </c>
      <c r="M596" s="154">
        <f t="shared" si="46"/>
        <v>0</v>
      </c>
      <c r="N596" s="155">
        <f>+IF(OR($Q596=Parametres!$G$2,$Q596=Parametres!$G$3),I596,C596)</f>
        <v>0</v>
      </c>
      <c r="O596" s="1122">
        <f>+IF(OR($Q596=Parametres!$G$2,$Q596=Parametres!$G$3),J596,D596)</f>
        <v>0</v>
      </c>
      <c r="P596" s="155">
        <f>+IF(OR($Q596=Parametres!$G$2,$Q596=Parametres!$G$3),K596,E596)</f>
        <v>0</v>
      </c>
      <c r="Q596" s="154">
        <f t="shared" si="47"/>
        <v>0</v>
      </c>
      <c r="R596" s="153">
        <f t="shared" si="48"/>
        <v>0</v>
      </c>
      <c r="S596" s="154">
        <f t="shared" si="49"/>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hidden="1" customHeight="1">
      <c r="A597" s="150"/>
      <c r="B597" s="150"/>
      <c r="C597" s="151"/>
      <c r="D597" s="151"/>
      <c r="E597" s="151"/>
      <c r="F597" s="150"/>
      <c r="G597" s="150"/>
      <c r="H597" s="150"/>
      <c r="I597" s="157"/>
      <c r="J597" s="157"/>
      <c r="K597" s="157"/>
      <c r="L597" s="153">
        <f t="shared" si="45"/>
        <v>0</v>
      </c>
      <c r="M597" s="154">
        <f t="shared" si="46"/>
        <v>0</v>
      </c>
      <c r="N597" s="155">
        <f>+IF(OR($Q597=Parametres!$G$2,$Q597=Parametres!$G$3),I597,C597)</f>
        <v>0</v>
      </c>
      <c r="O597" s="1122">
        <f>+IF(OR($Q597=Parametres!$G$2,$Q597=Parametres!$G$3),J597,D597)</f>
        <v>0</v>
      </c>
      <c r="P597" s="155">
        <f>+IF(OR($Q597=Parametres!$G$2,$Q597=Parametres!$G$3),K597,E597)</f>
        <v>0</v>
      </c>
      <c r="Q597" s="154">
        <f t="shared" si="47"/>
        <v>0</v>
      </c>
      <c r="R597" s="153">
        <f t="shared" si="48"/>
        <v>0</v>
      </c>
      <c r="S597" s="154">
        <f t="shared" si="49"/>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hidden="1" customHeight="1">
      <c r="A598" s="150"/>
      <c r="B598" s="150"/>
      <c r="C598" s="151"/>
      <c r="D598" s="151"/>
      <c r="E598" s="151"/>
      <c r="F598" s="150"/>
      <c r="G598" s="150"/>
      <c r="H598" s="150"/>
      <c r="I598" s="157"/>
      <c r="J598" s="157"/>
      <c r="K598" s="157"/>
      <c r="L598" s="153">
        <f t="shared" si="45"/>
        <v>0</v>
      </c>
      <c r="M598" s="154">
        <f t="shared" si="46"/>
        <v>0</v>
      </c>
      <c r="N598" s="155">
        <f>+IF(OR($Q598=Parametres!$G$2,$Q598=Parametres!$G$3),I598,C598)</f>
        <v>0</v>
      </c>
      <c r="O598" s="1122">
        <f>+IF(OR($Q598=Parametres!$G$2,$Q598=Parametres!$G$3),J598,D598)</f>
        <v>0</v>
      </c>
      <c r="P598" s="155">
        <f>+IF(OR($Q598=Parametres!$G$2,$Q598=Parametres!$G$3),K598,E598)</f>
        <v>0</v>
      </c>
      <c r="Q598" s="154">
        <f t="shared" si="47"/>
        <v>0</v>
      </c>
      <c r="R598" s="153">
        <f t="shared" si="48"/>
        <v>0</v>
      </c>
      <c r="S598" s="154">
        <f t="shared" si="49"/>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hidden="1" customHeight="1">
      <c r="A599" s="150"/>
      <c r="B599" s="150"/>
      <c r="C599" s="151"/>
      <c r="D599" s="151"/>
      <c r="E599" s="151"/>
      <c r="F599" s="150"/>
      <c r="G599" s="150"/>
      <c r="H599" s="150"/>
      <c r="I599" s="157"/>
      <c r="J599" s="157"/>
      <c r="K599" s="157"/>
      <c r="L599" s="153">
        <f t="shared" si="45"/>
        <v>0</v>
      </c>
      <c r="M599" s="154">
        <f t="shared" si="46"/>
        <v>0</v>
      </c>
      <c r="N599" s="155">
        <f>+IF(OR($Q599=Parametres!$G$2,$Q599=Parametres!$G$3),I599,C599)</f>
        <v>0</v>
      </c>
      <c r="O599" s="1122">
        <f>+IF(OR($Q599=Parametres!$G$2,$Q599=Parametres!$G$3),J599,D599)</f>
        <v>0</v>
      </c>
      <c r="P599" s="155">
        <f>+IF(OR($Q599=Parametres!$G$2,$Q599=Parametres!$G$3),K599,E599)</f>
        <v>0</v>
      </c>
      <c r="Q599" s="154">
        <f t="shared" si="47"/>
        <v>0</v>
      </c>
      <c r="R599" s="153">
        <f t="shared" si="48"/>
        <v>0</v>
      </c>
      <c r="S599" s="154">
        <f t="shared" si="49"/>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hidden="1" customHeight="1">
      <c r="A600" s="150"/>
      <c r="B600" s="150"/>
      <c r="C600" s="151"/>
      <c r="D600" s="151"/>
      <c r="E600" s="151"/>
      <c r="F600" s="150"/>
      <c r="G600" s="150"/>
      <c r="H600" s="150"/>
      <c r="I600" s="157"/>
      <c r="J600" s="157"/>
      <c r="K600" s="157"/>
      <c r="L600" s="153">
        <f t="shared" si="45"/>
        <v>0</v>
      </c>
      <c r="M600" s="154">
        <f t="shared" si="46"/>
        <v>0</v>
      </c>
      <c r="N600" s="155">
        <f>+IF(OR($Q600=Parametres!$G$2,$Q600=Parametres!$G$3),I600,C600)</f>
        <v>0</v>
      </c>
      <c r="O600" s="1122">
        <f>+IF(OR($Q600=Parametres!$G$2,$Q600=Parametres!$G$3),J600,D600)</f>
        <v>0</v>
      </c>
      <c r="P600" s="155">
        <f>+IF(OR($Q600=Parametres!$G$2,$Q600=Parametres!$G$3),K600,E600)</f>
        <v>0</v>
      </c>
      <c r="Q600" s="154">
        <f t="shared" si="47"/>
        <v>0</v>
      </c>
      <c r="R600" s="153">
        <f t="shared" si="48"/>
        <v>0</v>
      </c>
      <c r="S600" s="154">
        <f t="shared" si="49"/>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hidden="1" customHeight="1">
      <c r="A601" s="150"/>
      <c r="B601" s="150"/>
      <c r="C601" s="151"/>
      <c r="D601" s="151"/>
      <c r="E601" s="151"/>
      <c r="F601" s="150"/>
      <c r="G601" s="150"/>
      <c r="H601" s="150"/>
      <c r="I601" s="157"/>
      <c r="J601" s="157"/>
      <c r="K601" s="157"/>
      <c r="L601" s="153">
        <f t="shared" si="45"/>
        <v>0</v>
      </c>
      <c r="M601" s="154">
        <f t="shared" si="46"/>
        <v>0</v>
      </c>
      <c r="N601" s="155">
        <f>+IF(OR($Q601=Parametres!$G$2,$Q601=Parametres!$G$3),I601,C601)</f>
        <v>0</v>
      </c>
      <c r="O601" s="1122">
        <f>+IF(OR($Q601=Parametres!$G$2,$Q601=Parametres!$G$3),J601,D601)</f>
        <v>0</v>
      </c>
      <c r="P601" s="155">
        <f>+IF(OR($Q601=Parametres!$G$2,$Q601=Parametres!$G$3),K601,E601)</f>
        <v>0</v>
      </c>
      <c r="Q601" s="154">
        <f t="shared" si="47"/>
        <v>0</v>
      </c>
      <c r="R601" s="153">
        <f t="shared" si="48"/>
        <v>0</v>
      </c>
      <c r="S601" s="154">
        <f t="shared" si="49"/>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hidden="1" customHeight="1">
      <c r="A602" s="150"/>
      <c r="B602" s="150"/>
      <c r="C602" s="151"/>
      <c r="D602" s="151"/>
      <c r="E602" s="151"/>
      <c r="F602" s="150"/>
      <c r="G602" s="150"/>
      <c r="H602" s="150"/>
      <c r="I602" s="157"/>
      <c r="J602" s="157"/>
      <c r="K602" s="157"/>
      <c r="L602" s="153">
        <f t="shared" si="45"/>
        <v>0</v>
      </c>
      <c r="M602" s="154">
        <f t="shared" si="46"/>
        <v>0</v>
      </c>
      <c r="N602" s="155">
        <f>+IF(OR($Q602=Parametres!$G$2,$Q602=Parametres!$G$3),I602,C602)</f>
        <v>0</v>
      </c>
      <c r="O602" s="1122">
        <f>+IF(OR($Q602=Parametres!$G$2,$Q602=Parametres!$G$3),J602,D602)</f>
        <v>0</v>
      </c>
      <c r="P602" s="155">
        <f>+IF(OR($Q602=Parametres!$G$2,$Q602=Parametres!$G$3),K602,E602)</f>
        <v>0</v>
      </c>
      <c r="Q602" s="154">
        <f t="shared" si="47"/>
        <v>0</v>
      </c>
      <c r="R602" s="153">
        <f t="shared" si="48"/>
        <v>0</v>
      </c>
      <c r="S602" s="154">
        <f t="shared" si="49"/>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hidden="1" customHeight="1">
      <c r="A603" s="150"/>
      <c r="B603" s="150"/>
      <c r="C603" s="151"/>
      <c r="D603" s="151"/>
      <c r="E603" s="151"/>
      <c r="F603" s="150"/>
      <c r="G603" s="150"/>
      <c r="H603" s="150"/>
      <c r="I603" s="157"/>
      <c r="J603" s="157"/>
      <c r="K603" s="157"/>
      <c r="L603" s="153">
        <f t="shared" si="45"/>
        <v>0</v>
      </c>
      <c r="M603" s="154">
        <f t="shared" si="46"/>
        <v>0</v>
      </c>
      <c r="N603" s="155">
        <f>+IF(OR($Q603=Parametres!$G$2,$Q603=Parametres!$G$3),I603,C603)</f>
        <v>0</v>
      </c>
      <c r="O603" s="1122">
        <f>+IF(OR($Q603=Parametres!$G$2,$Q603=Parametres!$G$3),J603,D603)</f>
        <v>0</v>
      </c>
      <c r="P603" s="155">
        <f>+IF(OR($Q603=Parametres!$G$2,$Q603=Parametres!$G$3),K603,E603)</f>
        <v>0</v>
      </c>
      <c r="Q603" s="154">
        <f t="shared" si="47"/>
        <v>0</v>
      </c>
      <c r="R603" s="153">
        <f t="shared" si="48"/>
        <v>0</v>
      </c>
      <c r="S603" s="154">
        <f t="shared" si="49"/>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hidden="1" customHeight="1">
      <c r="A604" s="150"/>
      <c r="B604" s="150"/>
      <c r="C604" s="151"/>
      <c r="D604" s="151"/>
      <c r="E604" s="151"/>
      <c r="F604" s="150"/>
      <c r="G604" s="150"/>
      <c r="H604" s="150"/>
      <c r="I604" s="157"/>
      <c r="J604" s="157"/>
      <c r="K604" s="157"/>
      <c r="L604" s="153">
        <f t="shared" si="45"/>
        <v>0</v>
      </c>
      <c r="M604" s="154">
        <f t="shared" si="46"/>
        <v>0</v>
      </c>
      <c r="N604" s="155">
        <f>+IF(OR($Q604=Parametres!$G$2,$Q604=Parametres!$G$3),I604,C604)</f>
        <v>0</v>
      </c>
      <c r="O604" s="1122">
        <f>+IF(OR($Q604=Parametres!$G$2,$Q604=Parametres!$G$3),J604,D604)</f>
        <v>0</v>
      </c>
      <c r="P604" s="155">
        <f>+IF(OR($Q604=Parametres!$G$2,$Q604=Parametres!$G$3),K604,E604)</f>
        <v>0</v>
      </c>
      <c r="Q604" s="154">
        <f t="shared" si="47"/>
        <v>0</v>
      </c>
      <c r="R604" s="153">
        <f t="shared" si="48"/>
        <v>0</v>
      </c>
      <c r="S604" s="154">
        <f t="shared" si="49"/>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hidden="1" customHeight="1">
      <c r="A605" s="150"/>
      <c r="B605" s="150"/>
      <c r="C605" s="151"/>
      <c r="D605" s="151"/>
      <c r="E605" s="151"/>
      <c r="F605" s="150"/>
      <c r="G605" s="150"/>
      <c r="H605" s="150"/>
      <c r="I605" s="157"/>
      <c r="J605" s="157"/>
      <c r="K605" s="157"/>
      <c r="L605" s="153">
        <f t="shared" si="45"/>
        <v>0</v>
      </c>
      <c r="M605" s="154">
        <f t="shared" si="46"/>
        <v>0</v>
      </c>
      <c r="N605" s="155">
        <f>+IF(OR($Q605=Parametres!$G$2,$Q605=Parametres!$G$3),I605,C605)</f>
        <v>0</v>
      </c>
      <c r="O605" s="1122">
        <f>+IF(OR($Q605=Parametres!$G$2,$Q605=Parametres!$G$3),J605,D605)</f>
        <v>0</v>
      </c>
      <c r="P605" s="155">
        <f>+IF(OR($Q605=Parametres!$G$2,$Q605=Parametres!$G$3),K605,E605)</f>
        <v>0</v>
      </c>
      <c r="Q605" s="154">
        <f t="shared" si="47"/>
        <v>0</v>
      </c>
      <c r="R605" s="153">
        <f t="shared" si="48"/>
        <v>0</v>
      </c>
      <c r="S605" s="154">
        <f t="shared" si="49"/>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hidden="1" customHeight="1">
      <c r="A606" s="150"/>
      <c r="B606" s="150"/>
      <c r="C606" s="151"/>
      <c r="D606" s="151"/>
      <c r="E606" s="151"/>
      <c r="F606" s="150"/>
      <c r="G606" s="150"/>
      <c r="H606" s="150"/>
      <c r="I606" s="157"/>
      <c r="J606" s="157"/>
      <c r="K606" s="157"/>
      <c r="L606" s="153">
        <f t="shared" si="45"/>
        <v>0</v>
      </c>
      <c r="M606" s="154">
        <f t="shared" si="46"/>
        <v>0</v>
      </c>
      <c r="N606" s="155">
        <f>+IF(OR($Q606=Parametres!$G$2,$Q606=Parametres!$G$3),I606,C606)</f>
        <v>0</v>
      </c>
      <c r="O606" s="1122">
        <f>+IF(OR($Q606=Parametres!$G$2,$Q606=Parametres!$G$3),J606,D606)</f>
        <v>0</v>
      </c>
      <c r="P606" s="155">
        <f>+IF(OR($Q606=Parametres!$G$2,$Q606=Parametres!$G$3),K606,E606)</f>
        <v>0</v>
      </c>
      <c r="Q606" s="154">
        <f t="shared" si="47"/>
        <v>0</v>
      </c>
      <c r="R606" s="153">
        <f t="shared" si="48"/>
        <v>0</v>
      </c>
      <c r="S606" s="154">
        <f t="shared" si="49"/>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hidden="1" customHeight="1">
      <c r="A607" s="150"/>
      <c r="B607" s="150"/>
      <c r="C607" s="151"/>
      <c r="D607" s="151"/>
      <c r="E607" s="151"/>
      <c r="F607" s="150"/>
      <c r="G607" s="150"/>
      <c r="H607" s="150"/>
      <c r="I607" s="157"/>
      <c r="J607" s="157"/>
      <c r="K607" s="157"/>
      <c r="L607" s="153">
        <f t="shared" si="45"/>
        <v>0</v>
      </c>
      <c r="M607" s="154">
        <f t="shared" si="46"/>
        <v>0</v>
      </c>
      <c r="N607" s="155">
        <f>+IF(OR($Q607=Parametres!$G$2,$Q607=Parametres!$G$3),I607,C607)</f>
        <v>0</v>
      </c>
      <c r="O607" s="1122">
        <f>+IF(OR($Q607=Parametres!$G$2,$Q607=Parametres!$G$3),J607,D607)</f>
        <v>0</v>
      </c>
      <c r="P607" s="155">
        <f>+IF(OR($Q607=Parametres!$G$2,$Q607=Parametres!$G$3),K607,E607)</f>
        <v>0</v>
      </c>
      <c r="Q607" s="154">
        <f t="shared" si="47"/>
        <v>0</v>
      </c>
      <c r="R607" s="153">
        <f t="shared" si="48"/>
        <v>0</v>
      </c>
      <c r="S607" s="154">
        <f t="shared" si="49"/>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hidden="1" customHeight="1">
      <c r="A608" s="150"/>
      <c r="B608" s="150"/>
      <c r="C608" s="151"/>
      <c r="D608" s="151"/>
      <c r="E608" s="151"/>
      <c r="F608" s="150"/>
      <c r="G608" s="150"/>
      <c r="H608" s="150"/>
      <c r="I608" s="157"/>
      <c r="J608" s="157"/>
      <c r="K608" s="157"/>
      <c r="L608" s="153">
        <f t="shared" si="45"/>
        <v>0</v>
      </c>
      <c r="M608" s="154">
        <f t="shared" si="46"/>
        <v>0</v>
      </c>
      <c r="N608" s="155">
        <f>+IF(OR($Q608=Parametres!$G$2,$Q608=Parametres!$G$3),I608,C608)</f>
        <v>0</v>
      </c>
      <c r="O608" s="1122">
        <f>+IF(OR($Q608=Parametres!$G$2,$Q608=Parametres!$G$3),J608,D608)</f>
        <v>0</v>
      </c>
      <c r="P608" s="155">
        <f>+IF(OR($Q608=Parametres!$G$2,$Q608=Parametres!$G$3),K608,E608)</f>
        <v>0</v>
      </c>
      <c r="Q608" s="154">
        <f t="shared" si="47"/>
        <v>0</v>
      </c>
      <c r="R608" s="153">
        <f t="shared" si="48"/>
        <v>0</v>
      </c>
      <c r="S608" s="154">
        <f t="shared" si="49"/>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hidden="1" customHeight="1">
      <c r="A609" s="150"/>
      <c r="B609" s="150"/>
      <c r="C609" s="151"/>
      <c r="D609" s="151"/>
      <c r="E609" s="151"/>
      <c r="F609" s="150"/>
      <c r="G609" s="150"/>
      <c r="H609" s="150"/>
      <c r="I609" s="157"/>
      <c r="J609" s="157"/>
      <c r="K609" s="157"/>
      <c r="L609" s="153">
        <f t="shared" si="45"/>
        <v>0</v>
      </c>
      <c r="M609" s="154">
        <f t="shared" si="46"/>
        <v>0</v>
      </c>
      <c r="N609" s="155">
        <f>+IF(OR($Q609=Parametres!$G$2,$Q609=Parametres!$G$3),I609,C609)</f>
        <v>0</v>
      </c>
      <c r="O609" s="1122">
        <f>+IF(OR($Q609=Parametres!$G$2,$Q609=Parametres!$G$3),J609,D609)</f>
        <v>0</v>
      </c>
      <c r="P609" s="155">
        <f>+IF(OR($Q609=Parametres!$G$2,$Q609=Parametres!$G$3),K609,E609)</f>
        <v>0</v>
      </c>
      <c r="Q609" s="154">
        <f t="shared" si="47"/>
        <v>0</v>
      </c>
      <c r="R609" s="153">
        <f t="shared" si="48"/>
        <v>0</v>
      </c>
      <c r="S609" s="154">
        <f t="shared" si="49"/>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hidden="1" customHeight="1">
      <c r="A610" s="150"/>
      <c r="B610" s="150"/>
      <c r="C610" s="151"/>
      <c r="D610" s="151"/>
      <c r="E610" s="151"/>
      <c r="F610" s="150"/>
      <c r="G610" s="150"/>
      <c r="H610" s="150"/>
      <c r="I610" s="157"/>
      <c r="J610" s="157"/>
      <c r="K610" s="157"/>
      <c r="L610" s="153">
        <f t="shared" si="45"/>
        <v>0</v>
      </c>
      <c r="M610" s="154">
        <f t="shared" si="46"/>
        <v>0</v>
      </c>
      <c r="N610" s="155">
        <f>+IF(OR($Q610=Parametres!$G$2,$Q610=Parametres!$G$3),I610,C610)</f>
        <v>0</v>
      </c>
      <c r="O610" s="1122">
        <f>+IF(OR($Q610=Parametres!$G$2,$Q610=Parametres!$G$3),J610,D610)</f>
        <v>0</v>
      </c>
      <c r="P610" s="155">
        <f>+IF(OR($Q610=Parametres!$G$2,$Q610=Parametres!$G$3),K610,E610)</f>
        <v>0</v>
      </c>
      <c r="Q610" s="154">
        <f t="shared" si="47"/>
        <v>0</v>
      </c>
      <c r="R610" s="153">
        <f t="shared" si="48"/>
        <v>0</v>
      </c>
      <c r="S610" s="154">
        <f t="shared" si="49"/>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hidden="1" customHeight="1">
      <c r="A611" s="150"/>
      <c r="B611" s="150"/>
      <c r="C611" s="151"/>
      <c r="D611" s="151"/>
      <c r="E611" s="151"/>
      <c r="F611" s="150"/>
      <c r="G611" s="150"/>
      <c r="H611" s="150"/>
      <c r="I611" s="157"/>
      <c r="J611" s="157"/>
      <c r="K611" s="157"/>
      <c r="L611" s="153">
        <f t="shared" si="45"/>
        <v>0</v>
      </c>
      <c r="M611" s="154">
        <f t="shared" si="46"/>
        <v>0</v>
      </c>
      <c r="N611" s="155">
        <f>+IF(OR($Q611=Parametres!$G$2,$Q611=Parametres!$G$3),I611,C611)</f>
        <v>0</v>
      </c>
      <c r="O611" s="1122">
        <f>+IF(OR($Q611=Parametres!$G$2,$Q611=Parametres!$G$3),J611,D611)</f>
        <v>0</v>
      </c>
      <c r="P611" s="155">
        <f>+IF(OR($Q611=Parametres!$G$2,$Q611=Parametres!$G$3),K611,E611)</f>
        <v>0</v>
      </c>
      <c r="Q611" s="154">
        <f t="shared" si="47"/>
        <v>0</v>
      </c>
      <c r="R611" s="153">
        <f t="shared" si="48"/>
        <v>0</v>
      </c>
      <c r="S611" s="154">
        <f t="shared" si="49"/>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hidden="1" customHeight="1">
      <c r="A612" s="150"/>
      <c r="B612" s="150"/>
      <c r="C612" s="151"/>
      <c r="D612" s="151"/>
      <c r="E612" s="151"/>
      <c r="F612" s="150"/>
      <c r="G612" s="150"/>
      <c r="H612" s="150"/>
      <c r="I612" s="157"/>
      <c r="J612" s="157"/>
      <c r="K612" s="157"/>
      <c r="L612" s="153">
        <f t="shared" si="45"/>
        <v>0</v>
      </c>
      <c r="M612" s="154">
        <f t="shared" si="46"/>
        <v>0</v>
      </c>
      <c r="N612" s="155">
        <f>+IF(OR($Q612=Parametres!$G$2,$Q612=Parametres!$G$3),I612,C612)</f>
        <v>0</v>
      </c>
      <c r="O612" s="1122">
        <f>+IF(OR($Q612=Parametres!$G$2,$Q612=Parametres!$G$3),J612,D612)</f>
        <v>0</v>
      </c>
      <c r="P612" s="155">
        <f>+IF(OR($Q612=Parametres!$G$2,$Q612=Parametres!$G$3),K612,E612)</f>
        <v>0</v>
      </c>
      <c r="Q612" s="154">
        <f t="shared" si="47"/>
        <v>0</v>
      </c>
      <c r="R612" s="153">
        <f t="shared" si="48"/>
        <v>0</v>
      </c>
      <c r="S612" s="154">
        <f t="shared" si="49"/>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hidden="1" customHeight="1">
      <c r="A613" s="150"/>
      <c r="B613" s="150"/>
      <c r="C613" s="151"/>
      <c r="D613" s="151"/>
      <c r="E613" s="151"/>
      <c r="F613" s="150"/>
      <c r="G613" s="150"/>
      <c r="H613" s="150"/>
      <c r="I613" s="157"/>
      <c r="J613" s="157"/>
      <c r="K613" s="157"/>
      <c r="L613" s="153">
        <f t="shared" si="45"/>
        <v>0</v>
      </c>
      <c r="M613" s="154">
        <f t="shared" si="46"/>
        <v>0</v>
      </c>
      <c r="N613" s="155">
        <f>+IF(OR($Q613=Parametres!$G$2,$Q613=Parametres!$G$3),I613,C613)</f>
        <v>0</v>
      </c>
      <c r="O613" s="1122">
        <f>+IF(OR($Q613=Parametres!$G$2,$Q613=Parametres!$G$3),J613,D613)</f>
        <v>0</v>
      </c>
      <c r="P613" s="155">
        <f>+IF(OR($Q613=Parametres!$G$2,$Q613=Parametres!$G$3),K613,E613)</f>
        <v>0</v>
      </c>
      <c r="Q613" s="154">
        <f t="shared" si="47"/>
        <v>0</v>
      </c>
      <c r="R613" s="153">
        <f t="shared" si="48"/>
        <v>0</v>
      </c>
      <c r="S613" s="154">
        <f t="shared" si="49"/>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hidden="1" customHeight="1">
      <c r="A614" s="150"/>
      <c r="B614" s="150"/>
      <c r="C614" s="151"/>
      <c r="D614" s="151"/>
      <c r="E614" s="151"/>
      <c r="F614" s="150"/>
      <c r="G614" s="150"/>
      <c r="H614" s="150"/>
      <c r="I614" s="157"/>
      <c r="J614" s="157"/>
      <c r="K614" s="157"/>
      <c r="L614" s="153">
        <f t="shared" si="45"/>
        <v>0</v>
      </c>
      <c r="M614" s="154">
        <f t="shared" si="46"/>
        <v>0</v>
      </c>
      <c r="N614" s="155">
        <f>+IF(OR($Q614=Parametres!$G$2,$Q614=Parametres!$G$3),I614,C614)</f>
        <v>0</v>
      </c>
      <c r="O614" s="1122">
        <f>+IF(OR($Q614=Parametres!$G$2,$Q614=Parametres!$G$3),J614,D614)</f>
        <v>0</v>
      </c>
      <c r="P614" s="155">
        <f>+IF(OR($Q614=Parametres!$G$2,$Q614=Parametres!$G$3),K614,E614)</f>
        <v>0</v>
      </c>
      <c r="Q614" s="154">
        <f t="shared" si="47"/>
        <v>0</v>
      </c>
      <c r="R614" s="153">
        <f t="shared" si="48"/>
        <v>0</v>
      </c>
      <c r="S614" s="154">
        <f t="shared" si="49"/>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hidden="1" customHeight="1">
      <c r="A615" s="150"/>
      <c r="B615" s="150"/>
      <c r="C615" s="151"/>
      <c r="D615" s="151"/>
      <c r="E615" s="151"/>
      <c r="F615" s="150"/>
      <c r="G615" s="150"/>
      <c r="H615" s="150"/>
      <c r="I615" s="157"/>
      <c r="J615" s="157"/>
      <c r="K615" s="157"/>
      <c r="L615" s="153">
        <f t="shared" si="45"/>
        <v>0</v>
      </c>
      <c r="M615" s="154">
        <f t="shared" si="46"/>
        <v>0</v>
      </c>
      <c r="N615" s="155">
        <f>+IF(OR($Q615=Parametres!$G$2,$Q615=Parametres!$G$3),I615,C615)</f>
        <v>0</v>
      </c>
      <c r="O615" s="1122">
        <f>+IF(OR($Q615=Parametres!$G$2,$Q615=Parametres!$G$3),J615,D615)</f>
        <v>0</v>
      </c>
      <c r="P615" s="155">
        <f>+IF(OR($Q615=Parametres!$G$2,$Q615=Parametres!$G$3),K615,E615)</f>
        <v>0</v>
      </c>
      <c r="Q615" s="154">
        <f t="shared" si="47"/>
        <v>0</v>
      </c>
      <c r="R615" s="153">
        <f t="shared" si="48"/>
        <v>0</v>
      </c>
      <c r="S615" s="154">
        <f t="shared" si="49"/>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hidden="1" customHeight="1">
      <c r="A616" s="150"/>
      <c r="B616" s="150"/>
      <c r="C616" s="151"/>
      <c r="D616" s="151"/>
      <c r="E616" s="151"/>
      <c r="F616" s="150"/>
      <c r="G616" s="150"/>
      <c r="H616" s="150"/>
      <c r="I616" s="157"/>
      <c r="J616" s="157"/>
      <c r="K616" s="157"/>
      <c r="L616" s="153">
        <f t="shared" si="45"/>
        <v>0</v>
      </c>
      <c r="M616" s="154">
        <f t="shared" si="46"/>
        <v>0</v>
      </c>
      <c r="N616" s="155">
        <f>+IF(OR($Q616=Parametres!$G$2,$Q616=Parametres!$G$3),I616,C616)</f>
        <v>0</v>
      </c>
      <c r="O616" s="1122">
        <f>+IF(OR($Q616=Parametres!$G$2,$Q616=Parametres!$G$3),J616,D616)</f>
        <v>0</v>
      </c>
      <c r="P616" s="155">
        <f>+IF(OR($Q616=Parametres!$G$2,$Q616=Parametres!$G$3),K616,E616)</f>
        <v>0</v>
      </c>
      <c r="Q616" s="154">
        <f t="shared" si="47"/>
        <v>0</v>
      </c>
      <c r="R616" s="153">
        <f t="shared" si="48"/>
        <v>0</v>
      </c>
      <c r="S616" s="154">
        <f t="shared" si="49"/>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hidden="1" customHeight="1">
      <c r="A617" s="150"/>
      <c r="B617" s="150"/>
      <c r="C617" s="151"/>
      <c r="D617" s="151"/>
      <c r="E617" s="151"/>
      <c r="F617" s="150"/>
      <c r="G617" s="150"/>
      <c r="H617" s="150"/>
      <c r="I617" s="157"/>
      <c r="J617" s="157"/>
      <c r="K617" s="157"/>
      <c r="L617" s="153">
        <f t="shared" si="45"/>
        <v>0</v>
      </c>
      <c r="M617" s="154">
        <f t="shared" si="46"/>
        <v>0</v>
      </c>
      <c r="N617" s="155">
        <f>+IF(OR($Q617=Parametres!$G$2,$Q617=Parametres!$G$3),I617,C617)</f>
        <v>0</v>
      </c>
      <c r="O617" s="1122">
        <f>+IF(OR($Q617=Parametres!$G$2,$Q617=Parametres!$G$3),J617,D617)</f>
        <v>0</v>
      </c>
      <c r="P617" s="155">
        <f>+IF(OR($Q617=Parametres!$G$2,$Q617=Parametres!$G$3),K617,E617)</f>
        <v>0</v>
      </c>
      <c r="Q617" s="154">
        <f t="shared" si="47"/>
        <v>0</v>
      </c>
      <c r="R617" s="153">
        <f t="shared" si="48"/>
        <v>0</v>
      </c>
      <c r="S617" s="154">
        <f t="shared" si="49"/>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hidden="1" customHeight="1">
      <c r="A618" s="150"/>
      <c r="B618" s="150"/>
      <c r="C618" s="151"/>
      <c r="D618" s="151"/>
      <c r="E618" s="151"/>
      <c r="F618" s="150"/>
      <c r="G618" s="150"/>
      <c r="H618" s="150"/>
      <c r="I618" s="157"/>
      <c r="J618" s="157"/>
      <c r="K618" s="157"/>
      <c r="L618" s="153">
        <f t="shared" si="45"/>
        <v>0</v>
      </c>
      <c r="M618" s="154">
        <f t="shared" si="46"/>
        <v>0</v>
      </c>
      <c r="N618" s="155">
        <f>+IF(OR($Q618=Parametres!$G$2,$Q618=Parametres!$G$3),I618,C618)</f>
        <v>0</v>
      </c>
      <c r="O618" s="1122">
        <f>+IF(OR($Q618=Parametres!$G$2,$Q618=Parametres!$G$3),J618,D618)</f>
        <v>0</v>
      </c>
      <c r="P618" s="155">
        <f>+IF(OR($Q618=Parametres!$G$2,$Q618=Parametres!$G$3),K618,E618)</f>
        <v>0</v>
      </c>
      <c r="Q618" s="154">
        <f t="shared" si="47"/>
        <v>0</v>
      </c>
      <c r="R618" s="153">
        <f t="shared" si="48"/>
        <v>0</v>
      </c>
      <c r="S618" s="154">
        <f t="shared" si="49"/>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hidden="1" customHeight="1">
      <c r="A619" s="150"/>
      <c r="B619" s="150"/>
      <c r="C619" s="151"/>
      <c r="D619" s="151"/>
      <c r="E619" s="151"/>
      <c r="F619" s="150"/>
      <c r="G619" s="150"/>
      <c r="H619" s="150"/>
      <c r="I619" s="157"/>
      <c r="J619" s="157"/>
      <c r="K619" s="157"/>
      <c r="L619" s="153">
        <f t="shared" si="45"/>
        <v>0</v>
      </c>
      <c r="M619" s="154">
        <f t="shared" si="46"/>
        <v>0</v>
      </c>
      <c r="N619" s="155">
        <f>+IF(OR($Q619=Parametres!$G$2,$Q619=Parametres!$G$3),I619,C619)</f>
        <v>0</v>
      </c>
      <c r="O619" s="1122">
        <f>+IF(OR($Q619=Parametres!$G$2,$Q619=Parametres!$G$3),J619,D619)</f>
        <v>0</v>
      </c>
      <c r="P619" s="155">
        <f>+IF(OR($Q619=Parametres!$G$2,$Q619=Parametres!$G$3),K619,E619)</f>
        <v>0</v>
      </c>
      <c r="Q619" s="154">
        <f t="shared" si="47"/>
        <v>0</v>
      </c>
      <c r="R619" s="153">
        <f t="shared" si="48"/>
        <v>0</v>
      </c>
      <c r="S619" s="154">
        <f t="shared" si="49"/>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hidden="1" customHeight="1">
      <c r="A620" s="150"/>
      <c r="B620" s="150"/>
      <c r="C620" s="151"/>
      <c r="D620" s="151"/>
      <c r="E620" s="151"/>
      <c r="F620" s="150"/>
      <c r="G620" s="150"/>
      <c r="H620" s="150"/>
      <c r="I620" s="157"/>
      <c r="J620" s="157"/>
      <c r="K620" s="157"/>
      <c r="L620" s="153">
        <f t="shared" si="45"/>
        <v>0</v>
      </c>
      <c r="M620" s="154">
        <f t="shared" si="46"/>
        <v>0</v>
      </c>
      <c r="N620" s="155">
        <f>+IF(OR($Q620=Parametres!$G$2,$Q620=Parametres!$G$3),I620,C620)</f>
        <v>0</v>
      </c>
      <c r="O620" s="1122">
        <f>+IF(OR($Q620=Parametres!$G$2,$Q620=Parametres!$G$3),J620,D620)</f>
        <v>0</v>
      </c>
      <c r="P620" s="155">
        <f>+IF(OR($Q620=Parametres!$G$2,$Q620=Parametres!$G$3),K620,E620)</f>
        <v>0</v>
      </c>
      <c r="Q620" s="154">
        <f t="shared" si="47"/>
        <v>0</v>
      </c>
      <c r="R620" s="153">
        <f t="shared" si="48"/>
        <v>0</v>
      </c>
      <c r="S620" s="154">
        <f t="shared" si="49"/>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hidden="1" customHeight="1">
      <c r="A621" s="150"/>
      <c r="B621" s="150"/>
      <c r="C621" s="151"/>
      <c r="D621" s="151"/>
      <c r="E621" s="151"/>
      <c r="F621" s="150"/>
      <c r="G621" s="150"/>
      <c r="H621" s="150"/>
      <c r="I621" s="157"/>
      <c r="J621" s="157"/>
      <c r="K621" s="157"/>
      <c r="L621" s="153">
        <f t="shared" si="45"/>
        <v>0</v>
      </c>
      <c r="M621" s="154">
        <f t="shared" si="46"/>
        <v>0</v>
      </c>
      <c r="N621" s="155">
        <f>+IF(OR($Q621=Parametres!$G$2,$Q621=Parametres!$G$3),I621,C621)</f>
        <v>0</v>
      </c>
      <c r="O621" s="1122">
        <f>+IF(OR($Q621=Parametres!$G$2,$Q621=Parametres!$G$3),J621,D621)</f>
        <v>0</v>
      </c>
      <c r="P621" s="155">
        <f>+IF(OR($Q621=Parametres!$G$2,$Q621=Parametres!$G$3),K621,E621)</f>
        <v>0</v>
      </c>
      <c r="Q621" s="154">
        <f t="shared" si="47"/>
        <v>0</v>
      </c>
      <c r="R621" s="153">
        <f t="shared" si="48"/>
        <v>0</v>
      </c>
      <c r="S621" s="154">
        <f t="shared" si="49"/>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hidden="1" customHeight="1">
      <c r="A622" s="150"/>
      <c r="B622" s="150"/>
      <c r="C622" s="151"/>
      <c r="D622" s="151"/>
      <c r="E622" s="151"/>
      <c r="F622" s="150"/>
      <c r="G622" s="150"/>
      <c r="H622" s="150"/>
      <c r="I622" s="157"/>
      <c r="J622" s="157"/>
      <c r="K622" s="157"/>
      <c r="L622" s="153">
        <f t="shared" si="45"/>
        <v>0</v>
      </c>
      <c r="M622" s="154">
        <f t="shared" si="46"/>
        <v>0</v>
      </c>
      <c r="N622" s="155">
        <f>+IF(OR($Q622=Parametres!$G$2,$Q622=Parametres!$G$3),I622,C622)</f>
        <v>0</v>
      </c>
      <c r="O622" s="1122">
        <f>+IF(OR($Q622=Parametres!$G$2,$Q622=Parametres!$G$3),J622,D622)</f>
        <v>0</v>
      </c>
      <c r="P622" s="155">
        <f>+IF(OR($Q622=Parametres!$G$2,$Q622=Parametres!$G$3),K622,E622)</f>
        <v>0</v>
      </c>
      <c r="Q622" s="154">
        <f t="shared" si="47"/>
        <v>0</v>
      </c>
      <c r="R622" s="153">
        <f t="shared" si="48"/>
        <v>0</v>
      </c>
      <c r="S622" s="154">
        <f t="shared" si="49"/>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hidden="1" customHeight="1">
      <c r="A623" s="150"/>
      <c r="B623" s="150"/>
      <c r="C623" s="151"/>
      <c r="D623" s="151"/>
      <c r="E623" s="151"/>
      <c r="F623" s="150"/>
      <c r="G623" s="150"/>
      <c r="H623" s="150"/>
      <c r="I623" s="157"/>
      <c r="J623" s="157"/>
      <c r="K623" s="157"/>
      <c r="L623" s="153">
        <f t="shared" si="45"/>
        <v>0</v>
      </c>
      <c r="M623" s="154">
        <f t="shared" si="46"/>
        <v>0</v>
      </c>
      <c r="N623" s="155">
        <f>+IF(OR($Q623=Parametres!$G$2,$Q623=Parametres!$G$3),I623,C623)</f>
        <v>0</v>
      </c>
      <c r="O623" s="1122">
        <f>+IF(OR($Q623=Parametres!$G$2,$Q623=Parametres!$G$3),J623,D623)</f>
        <v>0</v>
      </c>
      <c r="P623" s="155">
        <f>+IF(OR($Q623=Parametres!$G$2,$Q623=Parametres!$G$3),K623,E623)</f>
        <v>0</v>
      </c>
      <c r="Q623" s="154">
        <f t="shared" si="47"/>
        <v>0</v>
      </c>
      <c r="R623" s="153">
        <f t="shared" si="48"/>
        <v>0</v>
      </c>
      <c r="S623" s="154">
        <f t="shared" si="49"/>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hidden="1" customHeight="1">
      <c r="A624" s="150"/>
      <c r="B624" s="150"/>
      <c r="C624" s="151"/>
      <c r="D624" s="151"/>
      <c r="E624" s="151"/>
      <c r="F624" s="150"/>
      <c r="G624" s="150"/>
      <c r="H624" s="150"/>
      <c r="I624" s="157"/>
      <c r="J624" s="157"/>
      <c r="K624" s="157"/>
      <c r="L624" s="153">
        <f t="shared" si="45"/>
        <v>0</v>
      </c>
      <c r="M624" s="154">
        <f t="shared" si="46"/>
        <v>0</v>
      </c>
      <c r="N624" s="155">
        <f>+IF(OR($Q624=Parametres!$G$2,$Q624=Parametres!$G$3),I624,C624)</f>
        <v>0</v>
      </c>
      <c r="O624" s="1122">
        <f>+IF(OR($Q624=Parametres!$G$2,$Q624=Parametres!$G$3),J624,D624)</f>
        <v>0</v>
      </c>
      <c r="P624" s="155">
        <f>+IF(OR($Q624=Parametres!$G$2,$Q624=Parametres!$G$3),K624,E624)</f>
        <v>0</v>
      </c>
      <c r="Q624" s="154">
        <f t="shared" si="47"/>
        <v>0</v>
      </c>
      <c r="R624" s="153">
        <f t="shared" si="48"/>
        <v>0</v>
      </c>
      <c r="S624" s="154">
        <f t="shared" si="49"/>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hidden="1" customHeight="1">
      <c r="A625" s="150"/>
      <c r="B625" s="150"/>
      <c r="C625" s="151"/>
      <c r="D625" s="151"/>
      <c r="E625" s="151"/>
      <c r="F625" s="150"/>
      <c r="G625" s="150"/>
      <c r="H625" s="150"/>
      <c r="I625" s="157"/>
      <c r="J625" s="157"/>
      <c r="K625" s="157"/>
      <c r="L625" s="153">
        <f t="shared" si="45"/>
        <v>0</v>
      </c>
      <c r="M625" s="154">
        <f t="shared" si="46"/>
        <v>0</v>
      </c>
      <c r="N625" s="155">
        <f>+IF(OR($Q625=Parametres!$G$2,$Q625=Parametres!$G$3),I625,C625)</f>
        <v>0</v>
      </c>
      <c r="O625" s="1122">
        <f>+IF(OR($Q625=Parametres!$G$2,$Q625=Parametres!$G$3),J625,D625)</f>
        <v>0</v>
      </c>
      <c r="P625" s="155">
        <f>+IF(OR($Q625=Parametres!$G$2,$Q625=Parametres!$G$3),K625,E625)</f>
        <v>0</v>
      </c>
      <c r="Q625" s="154">
        <f t="shared" si="47"/>
        <v>0</v>
      </c>
      <c r="R625" s="153">
        <f t="shared" si="48"/>
        <v>0</v>
      </c>
      <c r="S625" s="154">
        <f t="shared" si="49"/>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hidden="1" customHeight="1">
      <c r="A626" s="150"/>
      <c r="B626" s="150"/>
      <c r="C626" s="151"/>
      <c r="D626" s="151"/>
      <c r="E626" s="151"/>
      <c r="F626" s="150"/>
      <c r="G626" s="150"/>
      <c r="H626" s="150"/>
      <c r="I626" s="157"/>
      <c r="J626" s="157"/>
      <c r="K626" s="157"/>
      <c r="L626" s="153">
        <f t="shared" si="45"/>
        <v>0</v>
      </c>
      <c r="M626" s="154">
        <f t="shared" si="46"/>
        <v>0</v>
      </c>
      <c r="N626" s="155">
        <f>+IF(OR($Q626=Parametres!$G$2,$Q626=Parametres!$G$3),I626,C626)</f>
        <v>0</v>
      </c>
      <c r="O626" s="1122">
        <f>+IF(OR($Q626=Parametres!$G$2,$Q626=Parametres!$G$3),J626,D626)</f>
        <v>0</v>
      </c>
      <c r="P626" s="155">
        <f>+IF(OR($Q626=Parametres!$G$2,$Q626=Parametres!$G$3),K626,E626)</f>
        <v>0</v>
      </c>
      <c r="Q626" s="154">
        <f t="shared" si="47"/>
        <v>0</v>
      </c>
      <c r="R626" s="153">
        <f t="shared" si="48"/>
        <v>0</v>
      </c>
      <c r="S626" s="154">
        <f t="shared" si="49"/>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hidden="1" customHeight="1">
      <c r="A627" s="150"/>
      <c r="B627" s="150"/>
      <c r="C627" s="151"/>
      <c r="D627" s="151"/>
      <c r="E627" s="151"/>
      <c r="F627" s="150"/>
      <c r="G627" s="150"/>
      <c r="H627" s="150"/>
      <c r="I627" s="157"/>
      <c r="J627" s="157"/>
      <c r="K627" s="157"/>
      <c r="L627" s="153">
        <f t="shared" si="45"/>
        <v>0</v>
      </c>
      <c r="M627" s="154">
        <f t="shared" si="46"/>
        <v>0</v>
      </c>
      <c r="N627" s="155">
        <f>+IF(OR($Q627=Parametres!$G$2,$Q627=Parametres!$G$3),I627,C627)</f>
        <v>0</v>
      </c>
      <c r="O627" s="1122">
        <f>+IF(OR($Q627=Parametres!$G$2,$Q627=Parametres!$G$3),J627,D627)</f>
        <v>0</v>
      </c>
      <c r="P627" s="155">
        <f>+IF(OR($Q627=Parametres!$G$2,$Q627=Parametres!$G$3),K627,E627)</f>
        <v>0</v>
      </c>
      <c r="Q627" s="154">
        <f t="shared" si="47"/>
        <v>0</v>
      </c>
      <c r="R627" s="153">
        <f t="shared" si="48"/>
        <v>0</v>
      </c>
      <c r="S627" s="154">
        <f t="shared" si="49"/>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hidden="1" customHeight="1">
      <c r="A628" s="150"/>
      <c r="B628" s="150"/>
      <c r="C628" s="151"/>
      <c r="D628" s="151"/>
      <c r="E628" s="151"/>
      <c r="F628" s="150"/>
      <c r="G628" s="150"/>
      <c r="H628" s="150"/>
      <c r="I628" s="157"/>
      <c r="J628" s="157"/>
      <c r="K628" s="157"/>
      <c r="L628" s="153">
        <f t="shared" si="45"/>
        <v>0</v>
      </c>
      <c r="M628" s="154">
        <f t="shared" si="46"/>
        <v>0</v>
      </c>
      <c r="N628" s="155">
        <f>+IF(OR($Q628=Parametres!$G$2,$Q628=Parametres!$G$3),I628,C628)</f>
        <v>0</v>
      </c>
      <c r="O628" s="1122">
        <f>+IF(OR($Q628=Parametres!$G$2,$Q628=Parametres!$G$3),J628,D628)</f>
        <v>0</v>
      </c>
      <c r="P628" s="155">
        <f>+IF(OR($Q628=Parametres!$G$2,$Q628=Parametres!$G$3),K628,E628)</f>
        <v>0</v>
      </c>
      <c r="Q628" s="154">
        <f t="shared" si="47"/>
        <v>0</v>
      </c>
      <c r="R628" s="153">
        <f t="shared" si="48"/>
        <v>0</v>
      </c>
      <c r="S628" s="154">
        <f t="shared" si="49"/>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hidden="1" customHeight="1">
      <c r="A629" s="150"/>
      <c r="B629" s="150"/>
      <c r="C629" s="151"/>
      <c r="D629" s="151"/>
      <c r="E629" s="151"/>
      <c r="F629" s="150"/>
      <c r="G629" s="150"/>
      <c r="H629" s="150"/>
      <c r="I629" s="157"/>
      <c r="J629" s="157"/>
      <c r="K629" s="157"/>
      <c r="L629" s="153">
        <f t="shared" si="45"/>
        <v>0</v>
      </c>
      <c r="M629" s="154">
        <f t="shared" si="46"/>
        <v>0</v>
      </c>
      <c r="N629" s="155">
        <f>+IF(OR($Q629=Parametres!$G$2,$Q629=Parametres!$G$3),I629,C629)</f>
        <v>0</v>
      </c>
      <c r="O629" s="1122">
        <f>+IF(OR($Q629=Parametres!$G$2,$Q629=Parametres!$G$3),J629,D629)</f>
        <v>0</v>
      </c>
      <c r="P629" s="155">
        <f>+IF(OR($Q629=Parametres!$G$2,$Q629=Parametres!$G$3),K629,E629)</f>
        <v>0</v>
      </c>
      <c r="Q629" s="154">
        <f t="shared" si="47"/>
        <v>0</v>
      </c>
      <c r="R629" s="153">
        <f t="shared" si="48"/>
        <v>0</v>
      </c>
      <c r="S629" s="154">
        <f t="shared" si="49"/>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hidden="1" customHeight="1">
      <c r="A630" s="150"/>
      <c r="B630" s="150"/>
      <c r="C630" s="151"/>
      <c r="D630" s="151"/>
      <c r="E630" s="151"/>
      <c r="F630" s="150"/>
      <c r="G630" s="150"/>
      <c r="H630" s="150"/>
      <c r="I630" s="157"/>
      <c r="J630" s="157"/>
      <c r="K630" s="157"/>
      <c r="L630" s="153">
        <f t="shared" si="45"/>
        <v>0</v>
      </c>
      <c r="M630" s="154">
        <f t="shared" si="46"/>
        <v>0</v>
      </c>
      <c r="N630" s="155">
        <f>+IF(OR($Q630=Parametres!$G$2,$Q630=Parametres!$G$3),I630,C630)</f>
        <v>0</v>
      </c>
      <c r="O630" s="1122">
        <f>+IF(OR($Q630=Parametres!$G$2,$Q630=Parametres!$G$3),J630,D630)</f>
        <v>0</v>
      </c>
      <c r="P630" s="155">
        <f>+IF(OR($Q630=Parametres!$G$2,$Q630=Parametres!$G$3),K630,E630)</f>
        <v>0</v>
      </c>
      <c r="Q630" s="154">
        <f t="shared" si="47"/>
        <v>0</v>
      </c>
      <c r="R630" s="153">
        <f t="shared" si="48"/>
        <v>0</v>
      </c>
      <c r="S630" s="154">
        <f t="shared" si="49"/>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hidden="1" customHeight="1">
      <c r="A631" s="150"/>
      <c r="B631" s="150"/>
      <c r="C631" s="151"/>
      <c r="D631" s="151"/>
      <c r="E631" s="151"/>
      <c r="F631" s="150"/>
      <c r="G631" s="150"/>
      <c r="H631" s="150"/>
      <c r="I631" s="157"/>
      <c r="J631" s="157"/>
      <c r="K631" s="157"/>
      <c r="L631" s="153">
        <f t="shared" si="45"/>
        <v>0</v>
      </c>
      <c r="M631" s="154">
        <f t="shared" si="46"/>
        <v>0</v>
      </c>
      <c r="N631" s="155">
        <f>+IF(OR($Q631=Parametres!$G$2,$Q631=Parametres!$G$3),I631,C631)</f>
        <v>0</v>
      </c>
      <c r="O631" s="1122">
        <f>+IF(OR($Q631=Parametres!$G$2,$Q631=Parametres!$G$3),J631,D631)</f>
        <v>0</v>
      </c>
      <c r="P631" s="155">
        <f>+IF(OR($Q631=Parametres!$G$2,$Q631=Parametres!$G$3),K631,E631)</f>
        <v>0</v>
      </c>
      <c r="Q631" s="154">
        <f t="shared" si="47"/>
        <v>0</v>
      </c>
      <c r="R631" s="153">
        <f t="shared" si="48"/>
        <v>0</v>
      </c>
      <c r="S631" s="154">
        <f t="shared" si="49"/>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hidden="1" customHeight="1">
      <c r="A632" s="150"/>
      <c r="B632" s="150"/>
      <c r="C632" s="151"/>
      <c r="D632" s="151"/>
      <c r="E632" s="151"/>
      <c r="F632" s="150"/>
      <c r="G632" s="150"/>
      <c r="H632" s="150"/>
      <c r="I632" s="157"/>
      <c r="J632" s="157"/>
      <c r="K632" s="157"/>
      <c r="L632" s="153">
        <f t="shared" si="45"/>
        <v>0</v>
      </c>
      <c r="M632" s="154">
        <f t="shared" si="46"/>
        <v>0</v>
      </c>
      <c r="N632" s="155">
        <f>+IF(OR($Q632=Parametres!$G$2,$Q632=Parametres!$G$3),I632,C632)</f>
        <v>0</v>
      </c>
      <c r="O632" s="1122">
        <f>+IF(OR($Q632=Parametres!$G$2,$Q632=Parametres!$G$3),J632,D632)</f>
        <v>0</v>
      </c>
      <c r="P632" s="155">
        <f>+IF(OR($Q632=Parametres!$G$2,$Q632=Parametres!$G$3),K632,E632)</f>
        <v>0</v>
      </c>
      <c r="Q632" s="154">
        <f t="shared" si="47"/>
        <v>0</v>
      </c>
      <c r="R632" s="153">
        <f t="shared" si="48"/>
        <v>0</v>
      </c>
      <c r="S632" s="154">
        <f t="shared" si="49"/>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hidden="1" customHeight="1">
      <c r="A633" s="150"/>
      <c r="B633" s="150"/>
      <c r="C633" s="151"/>
      <c r="D633" s="151"/>
      <c r="E633" s="151"/>
      <c r="F633" s="150"/>
      <c r="G633" s="150"/>
      <c r="H633" s="150"/>
      <c r="I633" s="157"/>
      <c r="J633" s="157"/>
      <c r="K633" s="157"/>
      <c r="L633" s="153">
        <f t="shared" si="45"/>
        <v>0</v>
      </c>
      <c r="M633" s="154">
        <f t="shared" si="46"/>
        <v>0</v>
      </c>
      <c r="N633" s="155">
        <f>+IF(OR($Q633=Parametres!$G$2,$Q633=Parametres!$G$3),I633,C633)</f>
        <v>0</v>
      </c>
      <c r="O633" s="1122">
        <f>+IF(OR($Q633=Parametres!$G$2,$Q633=Parametres!$G$3),J633,D633)</f>
        <v>0</v>
      </c>
      <c r="P633" s="155">
        <f>+IF(OR($Q633=Parametres!$G$2,$Q633=Parametres!$G$3),K633,E633)</f>
        <v>0</v>
      </c>
      <c r="Q633" s="154">
        <f t="shared" si="47"/>
        <v>0</v>
      </c>
      <c r="R633" s="153">
        <f t="shared" si="48"/>
        <v>0</v>
      </c>
      <c r="S633" s="154">
        <f t="shared" si="49"/>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hidden="1" customHeight="1">
      <c r="A634" s="150"/>
      <c r="B634" s="150"/>
      <c r="C634" s="151"/>
      <c r="D634" s="151"/>
      <c r="E634" s="151"/>
      <c r="F634" s="150"/>
      <c r="G634" s="150"/>
      <c r="H634" s="150"/>
      <c r="I634" s="157"/>
      <c r="J634" s="157"/>
      <c r="K634" s="157"/>
      <c r="L634" s="153">
        <f t="shared" si="45"/>
        <v>0</v>
      </c>
      <c r="M634" s="154">
        <f t="shared" si="46"/>
        <v>0</v>
      </c>
      <c r="N634" s="155">
        <f>+IF(OR($Q634=Parametres!$G$2,$Q634=Parametres!$G$3),I634,C634)</f>
        <v>0</v>
      </c>
      <c r="O634" s="1122">
        <f>+IF(OR($Q634=Parametres!$G$2,$Q634=Parametres!$G$3),J634,D634)</f>
        <v>0</v>
      </c>
      <c r="P634" s="155">
        <f>+IF(OR($Q634=Parametres!$G$2,$Q634=Parametres!$G$3),K634,E634)</f>
        <v>0</v>
      </c>
      <c r="Q634" s="154">
        <f t="shared" si="47"/>
        <v>0</v>
      </c>
      <c r="R634" s="153">
        <f t="shared" si="48"/>
        <v>0</v>
      </c>
      <c r="S634" s="154">
        <f t="shared" si="49"/>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hidden="1" customHeight="1">
      <c r="A635" s="150"/>
      <c r="B635" s="150"/>
      <c r="C635" s="151"/>
      <c r="D635" s="151"/>
      <c r="E635" s="151"/>
      <c r="F635" s="150"/>
      <c r="G635" s="150"/>
      <c r="H635" s="150"/>
      <c r="I635" s="157"/>
      <c r="J635" s="157"/>
      <c r="K635" s="157"/>
      <c r="L635" s="153">
        <f t="shared" si="45"/>
        <v>0</v>
      </c>
      <c r="M635" s="154">
        <f t="shared" si="46"/>
        <v>0</v>
      </c>
      <c r="N635" s="155">
        <f>+IF(OR($Q635=Parametres!$G$2,$Q635=Parametres!$G$3),I635,C635)</f>
        <v>0</v>
      </c>
      <c r="O635" s="1122">
        <f>+IF(OR($Q635=Parametres!$G$2,$Q635=Parametres!$G$3),J635,D635)</f>
        <v>0</v>
      </c>
      <c r="P635" s="155">
        <f>+IF(OR($Q635=Parametres!$G$2,$Q635=Parametres!$G$3),K635,E635)</f>
        <v>0</v>
      </c>
      <c r="Q635" s="154">
        <f t="shared" si="47"/>
        <v>0</v>
      </c>
      <c r="R635" s="153">
        <f t="shared" si="48"/>
        <v>0</v>
      </c>
      <c r="S635" s="154">
        <f t="shared" si="49"/>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hidden="1" customHeight="1">
      <c r="A636" s="150"/>
      <c r="B636" s="150"/>
      <c r="C636" s="151"/>
      <c r="D636" s="151"/>
      <c r="E636" s="151"/>
      <c r="F636" s="150"/>
      <c r="G636" s="150"/>
      <c r="H636" s="150"/>
      <c r="I636" s="157"/>
      <c r="J636" s="157"/>
      <c r="K636" s="157"/>
      <c r="L636" s="153">
        <f t="shared" si="45"/>
        <v>0</v>
      </c>
      <c r="M636" s="154">
        <f t="shared" si="46"/>
        <v>0</v>
      </c>
      <c r="N636" s="155">
        <f>+IF(OR($Q636=Parametres!$G$2,$Q636=Parametres!$G$3),I636,C636)</f>
        <v>0</v>
      </c>
      <c r="O636" s="1122">
        <f>+IF(OR($Q636=Parametres!$G$2,$Q636=Parametres!$G$3),J636,D636)</f>
        <v>0</v>
      </c>
      <c r="P636" s="155">
        <f>+IF(OR($Q636=Parametres!$G$2,$Q636=Parametres!$G$3),K636,E636)</f>
        <v>0</v>
      </c>
      <c r="Q636" s="154">
        <f t="shared" si="47"/>
        <v>0</v>
      </c>
      <c r="R636" s="153">
        <f t="shared" si="48"/>
        <v>0</v>
      </c>
      <c r="S636" s="154">
        <f t="shared" si="49"/>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hidden="1" customHeight="1">
      <c r="A637" s="150"/>
      <c r="B637" s="150"/>
      <c r="C637" s="151"/>
      <c r="D637" s="151"/>
      <c r="E637" s="151"/>
      <c r="F637" s="150"/>
      <c r="G637" s="150"/>
      <c r="H637" s="150"/>
      <c r="I637" s="157"/>
      <c r="J637" s="157"/>
      <c r="K637" s="157"/>
      <c r="L637" s="153">
        <f t="shared" si="45"/>
        <v>0</v>
      </c>
      <c r="M637" s="154">
        <f t="shared" si="46"/>
        <v>0</v>
      </c>
      <c r="N637" s="155">
        <f>+IF(OR($Q637=Parametres!$G$2,$Q637=Parametres!$G$3),I637,C637)</f>
        <v>0</v>
      </c>
      <c r="O637" s="1122">
        <f>+IF(OR($Q637=Parametres!$G$2,$Q637=Parametres!$G$3),J637,D637)</f>
        <v>0</v>
      </c>
      <c r="P637" s="155">
        <f>+IF(OR($Q637=Parametres!$G$2,$Q637=Parametres!$G$3),K637,E637)</f>
        <v>0</v>
      </c>
      <c r="Q637" s="154">
        <f t="shared" si="47"/>
        <v>0</v>
      </c>
      <c r="R637" s="153">
        <f t="shared" si="48"/>
        <v>0</v>
      </c>
      <c r="S637" s="154">
        <f t="shared" si="49"/>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75" hidden="1" customHeight="1">
      <c r="A638" s="150"/>
      <c r="B638" s="150"/>
      <c r="C638" s="151"/>
      <c r="D638" s="151"/>
      <c r="E638" s="151"/>
      <c r="F638" s="150"/>
      <c r="G638" s="150"/>
      <c r="H638" s="150"/>
      <c r="I638" s="157"/>
      <c r="J638" s="157"/>
      <c r="K638" s="157"/>
      <c r="L638" s="153">
        <f t="shared" si="45"/>
        <v>0</v>
      </c>
      <c r="M638" s="154">
        <f t="shared" si="46"/>
        <v>0</v>
      </c>
      <c r="N638" s="155">
        <f>+IF(OR($Q638=Parametres!$G$2,$Q638=Parametres!$G$3),I638,C638)</f>
        <v>0</v>
      </c>
      <c r="O638" s="1122">
        <f>+IF(OR($Q638=Parametres!$G$2,$Q638=Parametres!$G$3),J638,D638)</f>
        <v>0</v>
      </c>
      <c r="P638" s="155">
        <f>+IF(OR($Q638=Parametres!$G$2,$Q638=Parametres!$G$3),K638,E638)</f>
        <v>0</v>
      </c>
      <c r="Q638" s="154">
        <f t="shared" si="47"/>
        <v>0</v>
      </c>
      <c r="R638" s="153">
        <f t="shared" si="48"/>
        <v>0</v>
      </c>
      <c r="S638" s="154">
        <f t="shared" si="49"/>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hidden="1" customHeight="1">
      <c r="A639" s="150"/>
      <c r="B639" s="150"/>
      <c r="C639" s="151"/>
      <c r="D639" s="151"/>
      <c r="E639" s="151"/>
      <c r="F639" s="150"/>
      <c r="G639" s="150"/>
      <c r="H639" s="150"/>
      <c r="I639" s="157"/>
      <c r="J639" s="157"/>
      <c r="K639" s="157"/>
      <c r="L639" s="153">
        <f t="shared" si="45"/>
        <v>0</v>
      </c>
      <c r="M639" s="154">
        <f t="shared" si="46"/>
        <v>0</v>
      </c>
      <c r="N639" s="155">
        <f>+IF(OR($Q639=Parametres!$G$2,$Q639=Parametres!$G$3),I639,C639)</f>
        <v>0</v>
      </c>
      <c r="O639" s="1122">
        <f>+IF(OR($Q639=Parametres!$G$2,$Q639=Parametres!$G$3),J639,D639)</f>
        <v>0</v>
      </c>
      <c r="P639" s="155">
        <f>+IF(OR($Q639=Parametres!$G$2,$Q639=Parametres!$G$3),K639,E639)</f>
        <v>0</v>
      </c>
      <c r="Q639" s="154">
        <f t="shared" si="47"/>
        <v>0</v>
      </c>
      <c r="R639" s="153">
        <f t="shared" si="48"/>
        <v>0</v>
      </c>
      <c r="S639" s="154">
        <f t="shared" si="49"/>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hidden="1" customHeight="1">
      <c r="A640" s="150"/>
      <c r="B640" s="150"/>
      <c r="C640" s="151"/>
      <c r="D640" s="151"/>
      <c r="E640" s="151"/>
      <c r="F640" s="150"/>
      <c r="G640" s="150"/>
      <c r="H640" s="150"/>
      <c r="I640" s="157"/>
      <c r="J640" s="157"/>
      <c r="K640" s="157"/>
      <c r="L640" s="153">
        <f t="shared" si="45"/>
        <v>0</v>
      </c>
      <c r="M640" s="154">
        <f t="shared" si="46"/>
        <v>0</v>
      </c>
      <c r="N640" s="155">
        <f>+IF(OR($Q640=Parametres!$G$2,$Q640=Parametres!$G$3),I640,C640)</f>
        <v>0</v>
      </c>
      <c r="O640" s="1122">
        <f>+IF(OR($Q640=Parametres!$G$2,$Q640=Parametres!$G$3),J640,D640)</f>
        <v>0</v>
      </c>
      <c r="P640" s="155">
        <f>+IF(OR($Q640=Parametres!$G$2,$Q640=Parametres!$G$3),K640,E640)</f>
        <v>0</v>
      </c>
      <c r="Q640" s="154">
        <f t="shared" si="47"/>
        <v>0</v>
      </c>
      <c r="R640" s="153">
        <f t="shared" si="48"/>
        <v>0</v>
      </c>
      <c r="S640" s="154">
        <f t="shared" si="49"/>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hidden="1" customHeight="1">
      <c r="A641" s="150"/>
      <c r="B641" s="150"/>
      <c r="C641" s="151"/>
      <c r="D641" s="151"/>
      <c r="E641" s="151"/>
      <c r="F641" s="150"/>
      <c r="G641" s="150"/>
      <c r="H641" s="150"/>
      <c r="I641" s="157"/>
      <c r="J641" s="157"/>
      <c r="K641" s="157"/>
      <c r="L641" s="153">
        <f t="shared" si="45"/>
        <v>0</v>
      </c>
      <c r="M641" s="154">
        <f t="shared" si="46"/>
        <v>0</v>
      </c>
      <c r="N641" s="155">
        <f>+IF(OR($Q641=Parametres!$G$2,$Q641=Parametres!$G$3),I641,C641)</f>
        <v>0</v>
      </c>
      <c r="O641" s="1122">
        <f>+IF(OR($Q641=Parametres!$G$2,$Q641=Parametres!$G$3),J641,D641)</f>
        <v>0</v>
      </c>
      <c r="P641" s="155">
        <f>+IF(OR($Q641=Parametres!$G$2,$Q641=Parametres!$G$3),K641,E641)</f>
        <v>0</v>
      </c>
      <c r="Q641" s="154">
        <f t="shared" si="47"/>
        <v>0</v>
      </c>
      <c r="R641" s="153">
        <f t="shared" si="48"/>
        <v>0</v>
      </c>
      <c r="S641" s="154">
        <f t="shared" si="49"/>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hidden="1" customHeight="1">
      <c r="A642" s="150"/>
      <c r="B642" s="150"/>
      <c r="C642" s="151"/>
      <c r="D642" s="151"/>
      <c r="E642" s="151"/>
      <c r="F642" s="150"/>
      <c r="G642" s="150"/>
      <c r="H642" s="150"/>
      <c r="I642" s="157"/>
      <c r="J642" s="157"/>
      <c r="K642" s="157"/>
      <c r="L642" s="153">
        <f t="shared" ref="L642:L705" si="50">+B642</f>
        <v>0</v>
      </c>
      <c r="M642" s="154">
        <f t="shared" ref="M642:M705" si="51">+A642</f>
        <v>0</v>
      </c>
      <c r="N642" s="155">
        <f>+IF(OR($Q642=Parametres!$G$2,$Q642=Parametres!$G$3),I642,C642)</f>
        <v>0</v>
      </c>
      <c r="O642" s="1122">
        <f>+IF(OR($Q642=Parametres!$G$2,$Q642=Parametres!$G$3),J642,D642)</f>
        <v>0</v>
      </c>
      <c r="P642" s="155">
        <f>+IF(OR($Q642=Parametres!$G$2,$Q642=Parametres!$G$3),K642,E642)</f>
        <v>0</v>
      </c>
      <c r="Q642" s="154">
        <f t="shared" ref="Q642:Q705" si="52">+F642</f>
        <v>0</v>
      </c>
      <c r="R642" s="153">
        <f t="shared" ref="R642:R705" si="53">+G642</f>
        <v>0</v>
      </c>
      <c r="S642" s="154">
        <f t="shared" ref="S642:S705" si="54">+H642</f>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hidden="1" customHeight="1">
      <c r="A643" s="150"/>
      <c r="B643" s="150"/>
      <c r="C643" s="151"/>
      <c r="D643" s="151"/>
      <c r="E643" s="151"/>
      <c r="F643" s="150"/>
      <c r="G643" s="150"/>
      <c r="H643" s="150"/>
      <c r="I643" s="157"/>
      <c r="J643" s="157"/>
      <c r="K643" s="157"/>
      <c r="L643" s="153">
        <f t="shared" si="50"/>
        <v>0</v>
      </c>
      <c r="M643" s="154">
        <f t="shared" si="51"/>
        <v>0</v>
      </c>
      <c r="N643" s="155">
        <f>+IF(OR($Q643=Parametres!$G$2,$Q643=Parametres!$G$3),I643,C643)</f>
        <v>0</v>
      </c>
      <c r="O643" s="1122">
        <f>+IF(OR($Q643=Parametres!$G$2,$Q643=Parametres!$G$3),J643,D643)</f>
        <v>0</v>
      </c>
      <c r="P643" s="155">
        <f>+IF(OR($Q643=Parametres!$G$2,$Q643=Parametres!$G$3),K643,E643)</f>
        <v>0</v>
      </c>
      <c r="Q643" s="154">
        <f t="shared" si="52"/>
        <v>0</v>
      </c>
      <c r="R643" s="153">
        <f t="shared" si="53"/>
        <v>0</v>
      </c>
      <c r="S643" s="154">
        <f t="shared" si="54"/>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hidden="1" customHeight="1">
      <c r="A644" s="150"/>
      <c r="B644" s="150"/>
      <c r="C644" s="151"/>
      <c r="D644" s="151"/>
      <c r="E644" s="151"/>
      <c r="F644" s="150"/>
      <c r="G644" s="150"/>
      <c r="H644" s="150"/>
      <c r="I644" s="157"/>
      <c r="J644" s="157"/>
      <c r="K644" s="157"/>
      <c r="L644" s="153">
        <f t="shared" si="50"/>
        <v>0</v>
      </c>
      <c r="M644" s="154">
        <f t="shared" si="51"/>
        <v>0</v>
      </c>
      <c r="N644" s="155">
        <f>+IF(OR($Q644=Parametres!$G$2,$Q644=Parametres!$G$3),I644,C644)</f>
        <v>0</v>
      </c>
      <c r="O644" s="1122">
        <f>+IF(OR($Q644=Parametres!$G$2,$Q644=Parametres!$G$3),J644,D644)</f>
        <v>0</v>
      </c>
      <c r="P644" s="155">
        <f>+IF(OR($Q644=Parametres!$G$2,$Q644=Parametres!$G$3),K644,E644)</f>
        <v>0</v>
      </c>
      <c r="Q644" s="154">
        <f t="shared" si="52"/>
        <v>0</v>
      </c>
      <c r="R644" s="153">
        <f t="shared" si="53"/>
        <v>0</v>
      </c>
      <c r="S644" s="154">
        <f t="shared" si="54"/>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hidden="1" customHeight="1">
      <c r="A645" s="150"/>
      <c r="B645" s="150"/>
      <c r="C645" s="151"/>
      <c r="D645" s="151"/>
      <c r="E645" s="151"/>
      <c r="F645" s="150"/>
      <c r="G645" s="150"/>
      <c r="H645" s="150"/>
      <c r="I645" s="157"/>
      <c r="J645" s="157"/>
      <c r="K645" s="157"/>
      <c r="L645" s="153">
        <f t="shared" si="50"/>
        <v>0</v>
      </c>
      <c r="M645" s="154">
        <f t="shared" si="51"/>
        <v>0</v>
      </c>
      <c r="N645" s="155">
        <f>+IF(OR($Q645=Parametres!$G$2,$Q645=Parametres!$G$3),I645,C645)</f>
        <v>0</v>
      </c>
      <c r="O645" s="1122">
        <f>+IF(OR($Q645=Parametres!$G$2,$Q645=Parametres!$G$3),J645,D645)</f>
        <v>0</v>
      </c>
      <c r="P645" s="155">
        <f>+IF(OR($Q645=Parametres!$G$2,$Q645=Parametres!$G$3),K645,E645)</f>
        <v>0</v>
      </c>
      <c r="Q645" s="154">
        <f t="shared" si="52"/>
        <v>0</v>
      </c>
      <c r="R645" s="153">
        <f t="shared" si="53"/>
        <v>0</v>
      </c>
      <c r="S645" s="154">
        <f t="shared" si="54"/>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hidden="1" customHeight="1">
      <c r="A646" s="150"/>
      <c r="B646" s="150"/>
      <c r="C646" s="151"/>
      <c r="D646" s="151"/>
      <c r="E646" s="151"/>
      <c r="F646" s="150"/>
      <c r="G646" s="150"/>
      <c r="H646" s="150"/>
      <c r="I646" s="157"/>
      <c r="J646" s="157"/>
      <c r="K646" s="157"/>
      <c r="L646" s="153">
        <f t="shared" si="50"/>
        <v>0</v>
      </c>
      <c r="M646" s="154">
        <f t="shared" si="51"/>
        <v>0</v>
      </c>
      <c r="N646" s="155">
        <f>+IF(OR($Q646=Parametres!$G$2,$Q646=Parametres!$G$3),I646,C646)</f>
        <v>0</v>
      </c>
      <c r="O646" s="1122">
        <f>+IF(OR($Q646=Parametres!$G$2,$Q646=Parametres!$G$3),J646,D646)</f>
        <v>0</v>
      </c>
      <c r="P646" s="155">
        <f>+IF(OR($Q646=Parametres!$G$2,$Q646=Parametres!$G$3),K646,E646)</f>
        <v>0</v>
      </c>
      <c r="Q646" s="154">
        <f t="shared" si="52"/>
        <v>0</v>
      </c>
      <c r="R646" s="153">
        <f t="shared" si="53"/>
        <v>0</v>
      </c>
      <c r="S646" s="154">
        <f t="shared" si="54"/>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hidden="1" customHeight="1">
      <c r="A647" s="150"/>
      <c r="B647" s="150"/>
      <c r="C647" s="151"/>
      <c r="D647" s="151"/>
      <c r="E647" s="151"/>
      <c r="F647" s="150"/>
      <c r="G647" s="150"/>
      <c r="H647" s="150"/>
      <c r="I647" s="157"/>
      <c r="J647" s="157"/>
      <c r="K647" s="157"/>
      <c r="L647" s="153">
        <f t="shared" si="50"/>
        <v>0</v>
      </c>
      <c r="M647" s="154">
        <f t="shared" si="51"/>
        <v>0</v>
      </c>
      <c r="N647" s="155">
        <f>+IF(OR($Q647=Parametres!$G$2,$Q647=Parametres!$G$3),I647,C647)</f>
        <v>0</v>
      </c>
      <c r="O647" s="1122">
        <f>+IF(OR($Q647=Parametres!$G$2,$Q647=Parametres!$G$3),J647,D647)</f>
        <v>0</v>
      </c>
      <c r="P647" s="155">
        <f>+IF(OR($Q647=Parametres!$G$2,$Q647=Parametres!$G$3),K647,E647)</f>
        <v>0</v>
      </c>
      <c r="Q647" s="154">
        <f t="shared" si="52"/>
        <v>0</v>
      </c>
      <c r="R647" s="153">
        <f t="shared" si="53"/>
        <v>0</v>
      </c>
      <c r="S647" s="154">
        <f t="shared" si="54"/>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hidden="1" customHeight="1">
      <c r="A648" s="150"/>
      <c r="B648" s="150"/>
      <c r="C648" s="151"/>
      <c r="D648" s="151"/>
      <c r="E648" s="151"/>
      <c r="F648" s="150"/>
      <c r="G648" s="150"/>
      <c r="H648" s="150"/>
      <c r="I648" s="157"/>
      <c r="J648" s="157"/>
      <c r="K648" s="157"/>
      <c r="L648" s="153">
        <f t="shared" si="50"/>
        <v>0</v>
      </c>
      <c r="M648" s="154">
        <f t="shared" si="51"/>
        <v>0</v>
      </c>
      <c r="N648" s="155">
        <f>+IF(OR($Q648=Parametres!$G$2,$Q648=Parametres!$G$3),I648,C648)</f>
        <v>0</v>
      </c>
      <c r="O648" s="1124">
        <f>+IF(OR($Q648=Parametres!$G$2,$Q648=Parametres!$G$3),J648,D648)</f>
        <v>0</v>
      </c>
      <c r="P648" s="155">
        <f>+IF(OR($Q648=Parametres!$G$2,$Q648=Parametres!$G$3),K648,E648)</f>
        <v>0</v>
      </c>
      <c r="Q648" s="154">
        <f t="shared" si="52"/>
        <v>0</v>
      </c>
      <c r="R648" s="153">
        <f t="shared" si="53"/>
        <v>0</v>
      </c>
      <c r="S648" s="154">
        <f t="shared" si="54"/>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hidden="1" customHeight="1">
      <c r="A649" s="150"/>
      <c r="B649" s="150"/>
      <c r="C649" s="151"/>
      <c r="D649" s="151"/>
      <c r="E649" s="151"/>
      <c r="F649" s="150"/>
      <c r="G649" s="150"/>
      <c r="H649" s="150"/>
      <c r="I649" s="157"/>
      <c r="J649" s="157"/>
      <c r="K649" s="157"/>
      <c r="L649" s="153">
        <f t="shared" si="50"/>
        <v>0</v>
      </c>
      <c r="M649" s="154">
        <f t="shared" si="51"/>
        <v>0</v>
      </c>
      <c r="N649" s="155">
        <f>+IF(OR($Q649=Parametres!$G$2,$Q649=Parametres!$G$3),I649,C649)</f>
        <v>0</v>
      </c>
      <c r="O649" s="1122">
        <f>+IF(OR($Q649=Parametres!$G$2,$Q649=Parametres!$G$3),J649,D649)</f>
        <v>0</v>
      </c>
      <c r="P649" s="155">
        <f>+IF(OR($Q649=Parametres!$G$2,$Q649=Parametres!$G$3),K649,E649)</f>
        <v>0</v>
      </c>
      <c r="Q649" s="154">
        <f t="shared" si="52"/>
        <v>0</v>
      </c>
      <c r="R649" s="153">
        <f t="shared" si="53"/>
        <v>0</v>
      </c>
      <c r="S649" s="154">
        <f t="shared" si="54"/>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hidden="1" customHeight="1">
      <c r="A650" s="150"/>
      <c r="B650" s="150"/>
      <c r="C650" s="151"/>
      <c r="D650" s="151"/>
      <c r="E650" s="151"/>
      <c r="F650" s="150"/>
      <c r="G650" s="150"/>
      <c r="H650" s="150"/>
      <c r="I650" s="157"/>
      <c r="J650" s="157"/>
      <c r="K650" s="157"/>
      <c r="L650" s="153">
        <f t="shared" si="50"/>
        <v>0</v>
      </c>
      <c r="M650" s="154">
        <f t="shared" si="51"/>
        <v>0</v>
      </c>
      <c r="N650" s="155">
        <f>+IF(OR($Q650=Parametres!$G$2,$Q650=Parametres!$G$3),I650,C650)</f>
        <v>0</v>
      </c>
      <c r="O650" s="1124">
        <f>+IF(OR($Q650=Parametres!$G$2,$Q650=Parametres!$G$3),J650,D650)</f>
        <v>0</v>
      </c>
      <c r="P650" s="155">
        <f>+IF(OR($Q650=Parametres!$G$2,$Q650=Parametres!$G$3),K650,E650)</f>
        <v>0</v>
      </c>
      <c r="Q650" s="154">
        <f t="shared" si="52"/>
        <v>0</v>
      </c>
      <c r="R650" s="153">
        <f t="shared" si="53"/>
        <v>0</v>
      </c>
      <c r="S650" s="154">
        <f t="shared" si="54"/>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hidden="1" customHeight="1">
      <c r="A651" s="150"/>
      <c r="B651" s="150"/>
      <c r="C651" s="151"/>
      <c r="D651" s="151"/>
      <c r="E651" s="151"/>
      <c r="F651" s="150"/>
      <c r="G651" s="150"/>
      <c r="H651" s="150"/>
      <c r="I651" s="157"/>
      <c r="J651" s="157"/>
      <c r="K651" s="157"/>
      <c r="L651" s="153">
        <f t="shared" si="50"/>
        <v>0</v>
      </c>
      <c r="M651" s="154">
        <f t="shared" si="51"/>
        <v>0</v>
      </c>
      <c r="N651" s="155">
        <f>+IF(OR($Q651=Parametres!$G$2,$Q651=Parametres!$G$3),I651,C651)</f>
        <v>0</v>
      </c>
      <c r="O651" s="1122">
        <f>+IF(OR($Q651=Parametres!$G$2,$Q651=Parametres!$G$3),J651,D651)</f>
        <v>0</v>
      </c>
      <c r="P651" s="155">
        <f>+IF(OR($Q651=Parametres!$G$2,$Q651=Parametres!$G$3),K651,E651)</f>
        <v>0</v>
      </c>
      <c r="Q651" s="154">
        <f t="shared" si="52"/>
        <v>0</v>
      </c>
      <c r="R651" s="153">
        <f t="shared" si="53"/>
        <v>0</v>
      </c>
      <c r="S651" s="154">
        <f t="shared" si="54"/>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hidden="1" customHeight="1">
      <c r="A652" s="150"/>
      <c r="B652" s="150"/>
      <c r="C652" s="151"/>
      <c r="D652" s="151"/>
      <c r="E652" s="151"/>
      <c r="F652" s="150"/>
      <c r="G652" s="150"/>
      <c r="H652" s="150"/>
      <c r="I652" s="157"/>
      <c r="J652" s="157"/>
      <c r="K652" s="157"/>
      <c r="L652" s="153">
        <f t="shared" si="50"/>
        <v>0</v>
      </c>
      <c r="M652" s="154">
        <f t="shared" si="51"/>
        <v>0</v>
      </c>
      <c r="N652" s="155">
        <f>+IF(OR($Q652=Parametres!$G$2,$Q652=Parametres!$G$3),I652,C652)</f>
        <v>0</v>
      </c>
      <c r="O652" s="1124">
        <f>+IF(OR($Q652=Parametres!$G$2,$Q652=Parametres!$G$3),J652,D652)</f>
        <v>0</v>
      </c>
      <c r="P652" s="155">
        <f>+IF(OR($Q652=Parametres!$G$2,$Q652=Parametres!$G$3),K652,E652)</f>
        <v>0</v>
      </c>
      <c r="Q652" s="154">
        <f t="shared" si="52"/>
        <v>0</v>
      </c>
      <c r="R652" s="153">
        <f t="shared" si="53"/>
        <v>0</v>
      </c>
      <c r="S652" s="154">
        <f t="shared" si="54"/>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hidden="1" customHeight="1">
      <c r="A653" s="150"/>
      <c r="B653" s="150"/>
      <c r="C653" s="151"/>
      <c r="D653" s="151"/>
      <c r="E653" s="151"/>
      <c r="F653" s="150"/>
      <c r="G653" s="150"/>
      <c r="H653" s="150"/>
      <c r="I653" s="157"/>
      <c r="J653" s="157"/>
      <c r="K653" s="157"/>
      <c r="L653" s="153">
        <f t="shared" si="50"/>
        <v>0</v>
      </c>
      <c r="M653" s="154">
        <f t="shared" si="51"/>
        <v>0</v>
      </c>
      <c r="N653" s="155">
        <f>+IF(OR($Q653=Parametres!$G$2,$Q653=Parametres!$G$3),I653,C653)</f>
        <v>0</v>
      </c>
      <c r="O653" s="1122">
        <f>+IF(OR($Q653=Parametres!$G$2,$Q653=Parametres!$G$3),J653,D653)</f>
        <v>0</v>
      </c>
      <c r="P653" s="155">
        <f>+IF(OR($Q653=Parametres!$G$2,$Q653=Parametres!$G$3),K653,E653)</f>
        <v>0</v>
      </c>
      <c r="Q653" s="154">
        <f t="shared" si="52"/>
        <v>0</v>
      </c>
      <c r="R653" s="153">
        <f t="shared" si="53"/>
        <v>0</v>
      </c>
      <c r="S653" s="154">
        <f t="shared" si="54"/>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hidden="1" customHeight="1">
      <c r="A654" s="150"/>
      <c r="B654" s="150"/>
      <c r="C654" s="151"/>
      <c r="D654" s="151"/>
      <c r="E654" s="151"/>
      <c r="F654" s="150"/>
      <c r="G654" s="150"/>
      <c r="H654" s="150"/>
      <c r="I654" s="157"/>
      <c r="J654" s="157"/>
      <c r="K654" s="157"/>
      <c r="L654" s="153">
        <f t="shared" si="50"/>
        <v>0</v>
      </c>
      <c r="M654" s="154">
        <f t="shared" si="51"/>
        <v>0</v>
      </c>
      <c r="N654" s="155">
        <f>+IF(OR($Q654=Parametres!$G$2,$Q654=Parametres!$G$3),I654,C654)</f>
        <v>0</v>
      </c>
      <c r="O654" s="1124">
        <f>+IF(OR($Q654=Parametres!$G$2,$Q654=Parametres!$G$3),J654,D654)</f>
        <v>0</v>
      </c>
      <c r="P654" s="155">
        <f>+IF(OR($Q654=Parametres!$G$2,$Q654=Parametres!$G$3),K654,E654)</f>
        <v>0</v>
      </c>
      <c r="Q654" s="154">
        <f t="shared" si="52"/>
        <v>0</v>
      </c>
      <c r="R654" s="153">
        <f t="shared" si="53"/>
        <v>0</v>
      </c>
      <c r="S654" s="154">
        <f t="shared" si="54"/>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hidden="1" customHeight="1">
      <c r="A655" s="150"/>
      <c r="B655" s="150"/>
      <c r="C655" s="151"/>
      <c r="D655" s="151"/>
      <c r="E655" s="151"/>
      <c r="F655" s="150"/>
      <c r="G655" s="150"/>
      <c r="H655" s="150"/>
      <c r="I655" s="157"/>
      <c r="J655" s="157"/>
      <c r="K655" s="157"/>
      <c r="L655" s="153">
        <f t="shared" si="50"/>
        <v>0</v>
      </c>
      <c r="M655" s="154">
        <f t="shared" si="51"/>
        <v>0</v>
      </c>
      <c r="N655" s="155">
        <f>+IF(OR($Q655=Parametres!$G$2,$Q655=Parametres!$G$3),I655,C655)</f>
        <v>0</v>
      </c>
      <c r="O655" s="1124">
        <f>+IF(OR($Q655=Parametres!$G$2,$Q655=Parametres!$G$3),J655,D655)</f>
        <v>0</v>
      </c>
      <c r="P655" s="155">
        <f>+IF(OR($Q655=Parametres!$G$2,$Q655=Parametres!$G$3),K655,E655)</f>
        <v>0</v>
      </c>
      <c r="Q655" s="154">
        <f t="shared" si="52"/>
        <v>0</v>
      </c>
      <c r="R655" s="153">
        <f t="shared" si="53"/>
        <v>0</v>
      </c>
      <c r="S655" s="154">
        <f t="shared" si="54"/>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hidden="1" customHeight="1">
      <c r="A656" s="150"/>
      <c r="B656" s="150"/>
      <c r="C656" s="151"/>
      <c r="D656" s="151"/>
      <c r="E656" s="151"/>
      <c r="F656" s="150"/>
      <c r="G656" s="150"/>
      <c r="H656" s="150"/>
      <c r="I656" s="157"/>
      <c r="J656" s="157"/>
      <c r="K656" s="157"/>
      <c r="L656" s="153">
        <f t="shared" si="50"/>
        <v>0</v>
      </c>
      <c r="M656" s="154">
        <f t="shared" si="51"/>
        <v>0</v>
      </c>
      <c r="N656" s="155">
        <f>+IF(OR($Q656=Parametres!$G$2,$Q656=Parametres!$G$3),I656,C656)</f>
        <v>0</v>
      </c>
      <c r="O656" s="1124">
        <f>+IF(OR($Q656=Parametres!$G$2,$Q656=Parametres!$G$3),J656,D656)</f>
        <v>0</v>
      </c>
      <c r="P656" s="155">
        <f>+IF(OR($Q656=Parametres!$G$2,$Q656=Parametres!$G$3),K656,E656)</f>
        <v>0</v>
      </c>
      <c r="Q656" s="154">
        <f t="shared" si="52"/>
        <v>0</v>
      </c>
      <c r="R656" s="153">
        <f t="shared" si="53"/>
        <v>0</v>
      </c>
      <c r="S656" s="154">
        <f t="shared" si="54"/>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hidden="1" customHeight="1">
      <c r="A657" s="150"/>
      <c r="B657" s="150"/>
      <c r="C657" s="151"/>
      <c r="D657" s="151"/>
      <c r="E657" s="151"/>
      <c r="F657" s="150"/>
      <c r="G657" s="150"/>
      <c r="H657" s="150"/>
      <c r="I657" s="157"/>
      <c r="J657" s="157"/>
      <c r="K657" s="157"/>
      <c r="L657" s="153">
        <f t="shared" si="50"/>
        <v>0</v>
      </c>
      <c r="M657" s="154">
        <f t="shared" si="51"/>
        <v>0</v>
      </c>
      <c r="N657" s="155">
        <f>+IF(OR($Q657=Parametres!$G$2,$Q657=Parametres!$G$3),I657,C657)</f>
        <v>0</v>
      </c>
      <c r="O657" s="1124">
        <f>+IF(OR($Q657=Parametres!$G$2,$Q657=Parametres!$G$3),J657,D657)</f>
        <v>0</v>
      </c>
      <c r="P657" s="155">
        <f>+IF(OR($Q657=Parametres!$G$2,$Q657=Parametres!$G$3),K657,E657)</f>
        <v>0</v>
      </c>
      <c r="Q657" s="154">
        <f t="shared" si="52"/>
        <v>0</v>
      </c>
      <c r="R657" s="153">
        <f t="shared" si="53"/>
        <v>0</v>
      </c>
      <c r="S657" s="154">
        <f t="shared" si="54"/>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hidden="1" customHeight="1">
      <c r="A658" s="150"/>
      <c r="B658" s="150"/>
      <c r="C658" s="151"/>
      <c r="D658" s="151"/>
      <c r="E658" s="151"/>
      <c r="F658" s="150"/>
      <c r="G658" s="150"/>
      <c r="H658" s="150"/>
      <c r="I658" s="157"/>
      <c r="J658" s="157"/>
      <c r="K658" s="157"/>
      <c r="L658" s="153">
        <f t="shared" si="50"/>
        <v>0</v>
      </c>
      <c r="M658" s="154">
        <f t="shared" si="51"/>
        <v>0</v>
      </c>
      <c r="N658" s="155">
        <f>+IF(OR($Q658=Parametres!$G$2,$Q658=Parametres!$G$3),I658,C658)</f>
        <v>0</v>
      </c>
      <c r="O658" s="1122">
        <f>+IF(OR($Q658=Parametres!$G$2,$Q658=Parametres!$G$3),J658,D658)</f>
        <v>0</v>
      </c>
      <c r="P658" s="155">
        <f>+IF(OR($Q658=Parametres!$G$2,$Q658=Parametres!$G$3),K658,E658)</f>
        <v>0</v>
      </c>
      <c r="Q658" s="154">
        <f t="shared" si="52"/>
        <v>0</v>
      </c>
      <c r="R658" s="153">
        <f t="shared" si="53"/>
        <v>0</v>
      </c>
      <c r="S658" s="154">
        <f t="shared" si="54"/>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hidden="1" customHeight="1">
      <c r="A659" s="150"/>
      <c r="B659" s="150"/>
      <c r="C659" s="151"/>
      <c r="D659" s="151"/>
      <c r="E659" s="151"/>
      <c r="F659" s="150"/>
      <c r="G659" s="150"/>
      <c r="H659" s="150"/>
      <c r="I659" s="157"/>
      <c r="J659" s="157"/>
      <c r="K659" s="157"/>
      <c r="L659" s="153">
        <f t="shared" si="50"/>
        <v>0</v>
      </c>
      <c r="M659" s="154">
        <f t="shared" si="51"/>
        <v>0</v>
      </c>
      <c r="N659" s="155">
        <f>+IF(OR($Q659=Parametres!$G$2,$Q659=Parametres!$G$3),I659,C659)</f>
        <v>0</v>
      </c>
      <c r="O659" s="1122">
        <f>+IF(OR($Q659=Parametres!$G$2,$Q659=Parametres!$G$3),J659,D659)</f>
        <v>0</v>
      </c>
      <c r="P659" s="155">
        <f>+IF(OR($Q659=Parametres!$G$2,$Q659=Parametres!$G$3),K659,E659)</f>
        <v>0</v>
      </c>
      <c r="Q659" s="154">
        <f t="shared" si="52"/>
        <v>0</v>
      </c>
      <c r="R659" s="153">
        <f t="shared" si="53"/>
        <v>0</v>
      </c>
      <c r="S659" s="154">
        <f t="shared" si="54"/>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hidden="1" customHeight="1">
      <c r="A660" s="150"/>
      <c r="B660" s="150"/>
      <c r="C660" s="151"/>
      <c r="D660" s="151"/>
      <c r="E660" s="151"/>
      <c r="F660" s="150"/>
      <c r="G660" s="150"/>
      <c r="H660" s="150"/>
      <c r="I660" s="157"/>
      <c r="J660" s="157"/>
      <c r="K660" s="157"/>
      <c r="L660" s="153">
        <f t="shared" si="50"/>
        <v>0</v>
      </c>
      <c r="M660" s="154">
        <f t="shared" si="51"/>
        <v>0</v>
      </c>
      <c r="N660" s="155">
        <f>+IF(OR($Q660=Parametres!$G$2,$Q660=Parametres!$G$3),I660,C660)</f>
        <v>0</v>
      </c>
      <c r="O660" s="1122">
        <f>+IF(OR($Q660=Parametres!$G$2,$Q660=Parametres!$G$3),J660,D660)</f>
        <v>0</v>
      </c>
      <c r="P660" s="155">
        <f>+IF(OR($Q660=Parametres!$G$2,$Q660=Parametres!$G$3),K660,E660)</f>
        <v>0</v>
      </c>
      <c r="Q660" s="154">
        <f t="shared" si="52"/>
        <v>0</v>
      </c>
      <c r="R660" s="153">
        <f t="shared" si="53"/>
        <v>0</v>
      </c>
      <c r="S660" s="154">
        <f t="shared" si="54"/>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hidden="1" customHeight="1">
      <c r="A661" s="150"/>
      <c r="B661" s="150"/>
      <c r="C661" s="151"/>
      <c r="D661" s="151"/>
      <c r="E661" s="151"/>
      <c r="F661" s="150"/>
      <c r="G661" s="150"/>
      <c r="H661" s="150"/>
      <c r="I661" s="157"/>
      <c r="J661" s="157"/>
      <c r="K661" s="157"/>
      <c r="L661" s="153">
        <f t="shared" si="50"/>
        <v>0</v>
      </c>
      <c r="M661" s="154">
        <f t="shared" si="51"/>
        <v>0</v>
      </c>
      <c r="N661" s="155">
        <f>+IF(OR($Q661=Parametres!$G$2,$Q661=Parametres!$G$3),I661,C661)</f>
        <v>0</v>
      </c>
      <c r="O661" s="1122">
        <f>+IF(OR($Q661=Parametres!$G$2,$Q661=Parametres!$G$3),J661,D661)</f>
        <v>0</v>
      </c>
      <c r="P661" s="155">
        <f>+IF(OR($Q661=Parametres!$G$2,$Q661=Parametres!$G$3),K661,E661)</f>
        <v>0</v>
      </c>
      <c r="Q661" s="154">
        <f t="shared" si="52"/>
        <v>0</v>
      </c>
      <c r="R661" s="153">
        <f t="shared" si="53"/>
        <v>0</v>
      </c>
      <c r="S661" s="154">
        <f t="shared" si="54"/>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hidden="1" customHeight="1">
      <c r="A662" s="150"/>
      <c r="B662" s="150"/>
      <c r="C662" s="151"/>
      <c r="D662" s="151"/>
      <c r="E662" s="151"/>
      <c r="F662" s="150"/>
      <c r="G662" s="150"/>
      <c r="H662" s="150"/>
      <c r="I662" s="157"/>
      <c r="J662" s="157"/>
      <c r="K662" s="157"/>
      <c r="L662" s="153">
        <f t="shared" si="50"/>
        <v>0</v>
      </c>
      <c r="M662" s="154">
        <f t="shared" si="51"/>
        <v>0</v>
      </c>
      <c r="N662" s="155">
        <f>+IF(OR($Q662=Parametres!$G$2,$Q662=Parametres!$G$3),I662,C662)</f>
        <v>0</v>
      </c>
      <c r="O662" s="1122">
        <f>+IF(OR($Q662=Parametres!$G$2,$Q662=Parametres!$G$3),J662,D662)</f>
        <v>0</v>
      </c>
      <c r="P662" s="155">
        <f>+IF(OR($Q662=Parametres!$G$2,$Q662=Parametres!$G$3),K662,E662)</f>
        <v>0</v>
      </c>
      <c r="Q662" s="154">
        <f t="shared" si="52"/>
        <v>0</v>
      </c>
      <c r="R662" s="153">
        <f t="shared" si="53"/>
        <v>0</v>
      </c>
      <c r="S662" s="154">
        <f t="shared" si="54"/>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hidden="1" customHeight="1">
      <c r="A663" s="150"/>
      <c r="B663" s="150"/>
      <c r="C663" s="151"/>
      <c r="D663" s="151"/>
      <c r="E663" s="151"/>
      <c r="F663" s="150"/>
      <c r="G663" s="150"/>
      <c r="H663" s="150"/>
      <c r="I663" s="157"/>
      <c r="J663" s="157"/>
      <c r="K663" s="157"/>
      <c r="L663" s="153">
        <f t="shared" si="50"/>
        <v>0</v>
      </c>
      <c r="M663" s="154">
        <f t="shared" si="51"/>
        <v>0</v>
      </c>
      <c r="N663" s="155">
        <f>+IF(OR($Q663=Parametres!$G$2,$Q663=Parametres!$G$3),I663,C663)</f>
        <v>0</v>
      </c>
      <c r="O663" s="1122">
        <f>+IF(OR($Q663=Parametres!$G$2,$Q663=Parametres!$G$3),J663,D663)</f>
        <v>0</v>
      </c>
      <c r="P663" s="155">
        <f>+IF(OR($Q663=Parametres!$G$2,$Q663=Parametres!$G$3),K663,E663)</f>
        <v>0</v>
      </c>
      <c r="Q663" s="154">
        <f t="shared" si="52"/>
        <v>0</v>
      </c>
      <c r="R663" s="153">
        <f t="shared" si="53"/>
        <v>0</v>
      </c>
      <c r="S663" s="154">
        <f t="shared" si="54"/>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hidden="1" customHeight="1">
      <c r="A664" s="150"/>
      <c r="B664" s="150"/>
      <c r="C664" s="151"/>
      <c r="D664" s="151"/>
      <c r="E664" s="151"/>
      <c r="F664" s="150"/>
      <c r="G664" s="150"/>
      <c r="H664" s="150"/>
      <c r="I664" s="157"/>
      <c r="J664" s="157"/>
      <c r="K664" s="157"/>
      <c r="L664" s="153">
        <f t="shared" si="50"/>
        <v>0</v>
      </c>
      <c r="M664" s="154">
        <f t="shared" si="51"/>
        <v>0</v>
      </c>
      <c r="N664" s="155">
        <f>+IF(OR($Q664=Parametres!$G$2,$Q664=Parametres!$G$3),I664,C664)</f>
        <v>0</v>
      </c>
      <c r="O664" s="1122">
        <f>+IF(OR($Q664=Parametres!$G$2,$Q664=Parametres!$G$3),J664,D664)</f>
        <v>0</v>
      </c>
      <c r="P664" s="155">
        <f>+IF(OR($Q664=Parametres!$G$2,$Q664=Parametres!$G$3),K664,E664)</f>
        <v>0</v>
      </c>
      <c r="Q664" s="154">
        <f t="shared" si="52"/>
        <v>0</v>
      </c>
      <c r="R664" s="153">
        <f t="shared" si="53"/>
        <v>0</v>
      </c>
      <c r="S664" s="154">
        <f t="shared" si="54"/>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hidden="1" customHeight="1">
      <c r="A665" s="150"/>
      <c r="B665" s="150"/>
      <c r="C665" s="151"/>
      <c r="D665" s="151"/>
      <c r="E665" s="151"/>
      <c r="F665" s="150"/>
      <c r="G665" s="150"/>
      <c r="H665" s="150"/>
      <c r="I665" s="157"/>
      <c r="J665" s="157"/>
      <c r="K665" s="157"/>
      <c r="L665" s="153">
        <f t="shared" si="50"/>
        <v>0</v>
      </c>
      <c r="M665" s="154">
        <f t="shared" si="51"/>
        <v>0</v>
      </c>
      <c r="N665" s="155">
        <f>+IF(OR($Q665=Parametres!$G$2,$Q665=Parametres!$G$3),I665,C665)</f>
        <v>0</v>
      </c>
      <c r="O665" s="1122">
        <f>+IF(OR($Q665=Parametres!$G$2,$Q665=Parametres!$G$3),J665,D665)</f>
        <v>0</v>
      </c>
      <c r="P665" s="155">
        <f>+IF(OR($Q665=Parametres!$G$2,$Q665=Parametres!$G$3),K665,E665)</f>
        <v>0</v>
      </c>
      <c r="Q665" s="154">
        <f t="shared" si="52"/>
        <v>0</v>
      </c>
      <c r="R665" s="153">
        <f t="shared" si="53"/>
        <v>0</v>
      </c>
      <c r="S665" s="154">
        <f t="shared" si="54"/>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hidden="1" customHeight="1">
      <c r="A666" s="150"/>
      <c r="B666" s="150"/>
      <c r="C666" s="151"/>
      <c r="D666" s="151"/>
      <c r="E666" s="151"/>
      <c r="F666" s="150"/>
      <c r="G666" s="150"/>
      <c r="H666" s="150"/>
      <c r="I666" s="157"/>
      <c r="J666" s="157"/>
      <c r="K666" s="157"/>
      <c r="L666" s="153">
        <f t="shared" si="50"/>
        <v>0</v>
      </c>
      <c r="M666" s="154">
        <f t="shared" si="51"/>
        <v>0</v>
      </c>
      <c r="N666" s="155">
        <f>+IF(OR($Q666=Parametres!$G$2,$Q666=Parametres!$G$3),I666,C666)</f>
        <v>0</v>
      </c>
      <c r="O666" s="1122">
        <f>+IF(OR($Q666=Parametres!$G$2,$Q666=Parametres!$G$3),J666,D666)</f>
        <v>0</v>
      </c>
      <c r="P666" s="155">
        <f>+IF(OR($Q666=Parametres!$G$2,$Q666=Parametres!$G$3),K666,E666)</f>
        <v>0</v>
      </c>
      <c r="Q666" s="154">
        <f t="shared" si="52"/>
        <v>0</v>
      </c>
      <c r="R666" s="153">
        <f t="shared" si="53"/>
        <v>0</v>
      </c>
      <c r="S666" s="154">
        <f t="shared" si="54"/>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hidden="1" customHeight="1">
      <c r="A667" s="150"/>
      <c r="B667" s="150"/>
      <c r="C667" s="151"/>
      <c r="D667" s="151"/>
      <c r="E667" s="151"/>
      <c r="F667" s="150"/>
      <c r="G667" s="150"/>
      <c r="H667" s="150"/>
      <c r="I667" s="157"/>
      <c r="J667" s="157"/>
      <c r="K667" s="157"/>
      <c r="L667" s="153">
        <f t="shared" si="50"/>
        <v>0</v>
      </c>
      <c r="M667" s="154">
        <f t="shared" si="51"/>
        <v>0</v>
      </c>
      <c r="N667" s="155">
        <f>+IF(OR($Q667=Parametres!$G$2,$Q667=Parametres!$G$3),I667,C667)</f>
        <v>0</v>
      </c>
      <c r="O667" s="1124">
        <f>+IF(OR($Q667=Parametres!$G$2,$Q667=Parametres!$G$3),J667,D667)</f>
        <v>0</v>
      </c>
      <c r="P667" s="155">
        <f>+IF(OR($Q667=Parametres!$G$2,$Q667=Parametres!$G$3),K667,E667)</f>
        <v>0</v>
      </c>
      <c r="Q667" s="154">
        <f t="shared" si="52"/>
        <v>0</v>
      </c>
      <c r="R667" s="153">
        <f t="shared" si="53"/>
        <v>0</v>
      </c>
      <c r="S667" s="154">
        <f t="shared" si="54"/>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hidden="1" customHeight="1">
      <c r="A668" s="150"/>
      <c r="B668" s="150"/>
      <c r="C668" s="151"/>
      <c r="D668" s="151"/>
      <c r="E668" s="151"/>
      <c r="F668" s="150"/>
      <c r="G668" s="150"/>
      <c r="H668" s="150"/>
      <c r="I668" s="157"/>
      <c r="J668" s="157"/>
      <c r="K668" s="157"/>
      <c r="L668" s="153">
        <f t="shared" si="50"/>
        <v>0</v>
      </c>
      <c r="M668" s="154">
        <f t="shared" si="51"/>
        <v>0</v>
      </c>
      <c r="N668" s="155">
        <f>+IF(OR($Q668=Parametres!$G$2,$Q668=Parametres!$G$3),I668,C668)</f>
        <v>0</v>
      </c>
      <c r="O668" s="1124">
        <f>+IF(OR($Q668=Parametres!$G$2,$Q668=Parametres!$G$3),J668,D668)</f>
        <v>0</v>
      </c>
      <c r="P668" s="155">
        <f>+IF(OR($Q668=Parametres!$G$2,$Q668=Parametres!$G$3),K668,E668)</f>
        <v>0</v>
      </c>
      <c r="Q668" s="154">
        <f t="shared" si="52"/>
        <v>0</v>
      </c>
      <c r="R668" s="153">
        <f t="shared" si="53"/>
        <v>0</v>
      </c>
      <c r="S668" s="154">
        <f t="shared" si="54"/>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hidden="1" customHeight="1">
      <c r="A669" s="150"/>
      <c r="B669" s="150"/>
      <c r="C669" s="151"/>
      <c r="D669" s="151"/>
      <c r="E669" s="151"/>
      <c r="F669" s="150"/>
      <c r="G669" s="150"/>
      <c r="H669" s="150"/>
      <c r="I669" s="157"/>
      <c r="J669" s="157"/>
      <c r="K669" s="157"/>
      <c r="L669" s="153">
        <f t="shared" si="50"/>
        <v>0</v>
      </c>
      <c r="M669" s="154">
        <f t="shared" si="51"/>
        <v>0</v>
      </c>
      <c r="N669" s="155">
        <f>+IF(OR($Q669=Parametres!$G$2,$Q669=Parametres!$G$3),I669,C669)</f>
        <v>0</v>
      </c>
      <c r="O669" s="1122">
        <f>+IF(OR($Q669=Parametres!$G$2,$Q669=Parametres!$G$3),J669,D669)</f>
        <v>0</v>
      </c>
      <c r="P669" s="155">
        <f>+IF(OR($Q669=Parametres!$G$2,$Q669=Parametres!$G$3),K669,E669)</f>
        <v>0</v>
      </c>
      <c r="Q669" s="154">
        <f t="shared" si="52"/>
        <v>0</v>
      </c>
      <c r="R669" s="153">
        <f t="shared" si="53"/>
        <v>0</v>
      </c>
      <c r="S669" s="154">
        <f t="shared" si="54"/>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hidden="1" customHeight="1">
      <c r="A670" s="150"/>
      <c r="B670" s="150"/>
      <c r="C670" s="151"/>
      <c r="D670" s="151"/>
      <c r="E670" s="151"/>
      <c r="F670" s="150"/>
      <c r="G670" s="150"/>
      <c r="H670" s="150"/>
      <c r="I670" s="157"/>
      <c r="J670" s="157"/>
      <c r="K670" s="157"/>
      <c r="L670" s="153">
        <f t="shared" si="50"/>
        <v>0</v>
      </c>
      <c r="M670" s="154">
        <f t="shared" si="51"/>
        <v>0</v>
      </c>
      <c r="N670" s="155">
        <f>+IF(OR($Q670=Parametres!$G$2,$Q670=Parametres!$G$3),I670,C670)</f>
        <v>0</v>
      </c>
      <c r="O670" s="1124">
        <f>+IF(OR($Q670=Parametres!$G$2,$Q670=Parametres!$G$3),J670,D670)</f>
        <v>0</v>
      </c>
      <c r="P670" s="155">
        <f>+IF(OR($Q670=Parametres!$G$2,$Q670=Parametres!$G$3),K670,E670)</f>
        <v>0</v>
      </c>
      <c r="Q670" s="154">
        <f t="shared" si="52"/>
        <v>0</v>
      </c>
      <c r="R670" s="153">
        <f t="shared" si="53"/>
        <v>0</v>
      </c>
      <c r="S670" s="154">
        <f t="shared" si="54"/>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hidden="1" customHeight="1">
      <c r="A671" s="150"/>
      <c r="B671" s="150"/>
      <c r="C671" s="151"/>
      <c r="D671" s="151"/>
      <c r="E671" s="151"/>
      <c r="F671" s="150"/>
      <c r="G671" s="150"/>
      <c r="H671" s="150"/>
      <c r="I671" s="157"/>
      <c r="J671" s="157"/>
      <c r="K671" s="157"/>
      <c r="L671" s="153">
        <f t="shared" si="50"/>
        <v>0</v>
      </c>
      <c r="M671" s="154">
        <f t="shared" si="51"/>
        <v>0</v>
      </c>
      <c r="N671" s="155">
        <f>+IF(OR($Q671=Parametres!$G$2,$Q671=Parametres!$G$3),I671,C671)</f>
        <v>0</v>
      </c>
      <c r="O671" s="1124">
        <f>+IF(OR($Q671=Parametres!$G$2,$Q671=Parametres!$G$3),J671,D671)</f>
        <v>0</v>
      </c>
      <c r="P671" s="155">
        <f>+IF(OR($Q671=Parametres!$G$2,$Q671=Parametres!$G$3),K671,E671)</f>
        <v>0</v>
      </c>
      <c r="Q671" s="154">
        <f t="shared" si="52"/>
        <v>0</v>
      </c>
      <c r="R671" s="153">
        <f t="shared" si="53"/>
        <v>0</v>
      </c>
      <c r="S671" s="154">
        <f t="shared" si="54"/>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hidden="1" customHeight="1">
      <c r="A672" s="150"/>
      <c r="B672" s="150"/>
      <c r="C672" s="151"/>
      <c r="D672" s="151"/>
      <c r="E672" s="151"/>
      <c r="F672" s="150"/>
      <c r="G672" s="150"/>
      <c r="H672" s="150"/>
      <c r="I672" s="157"/>
      <c r="J672" s="157"/>
      <c r="K672" s="157"/>
      <c r="L672" s="153">
        <f t="shared" si="50"/>
        <v>0</v>
      </c>
      <c r="M672" s="154">
        <f t="shared" si="51"/>
        <v>0</v>
      </c>
      <c r="N672" s="155">
        <f>+IF(OR($Q672=Parametres!$G$2,$Q672=Parametres!$G$3),I672,C672)</f>
        <v>0</v>
      </c>
      <c r="O672" s="1124">
        <f>+IF(OR($Q672=Parametres!$G$2,$Q672=Parametres!$G$3),J672,D672)</f>
        <v>0</v>
      </c>
      <c r="P672" s="155">
        <f>+IF(OR($Q672=Parametres!$G$2,$Q672=Parametres!$G$3),K672,E672)</f>
        <v>0</v>
      </c>
      <c r="Q672" s="154">
        <f t="shared" si="52"/>
        <v>0</v>
      </c>
      <c r="R672" s="153">
        <f t="shared" si="53"/>
        <v>0</v>
      </c>
      <c r="S672" s="154">
        <f t="shared" si="54"/>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hidden="1" customHeight="1">
      <c r="A673" s="150"/>
      <c r="B673" s="150"/>
      <c r="C673" s="151"/>
      <c r="D673" s="151"/>
      <c r="E673" s="151"/>
      <c r="F673" s="150"/>
      <c r="G673" s="150"/>
      <c r="H673" s="150"/>
      <c r="I673" s="157"/>
      <c r="J673" s="157"/>
      <c r="K673" s="157"/>
      <c r="L673" s="153">
        <f t="shared" si="50"/>
        <v>0</v>
      </c>
      <c r="M673" s="154">
        <f t="shared" si="51"/>
        <v>0</v>
      </c>
      <c r="N673" s="155">
        <f>+IF(OR($Q673=Parametres!$G$2,$Q673=Parametres!$G$3),I673,C673)</f>
        <v>0</v>
      </c>
      <c r="O673" s="1122">
        <f>+IF(OR($Q673=Parametres!$G$2,$Q673=Parametres!$G$3),J673,D673)</f>
        <v>0</v>
      </c>
      <c r="P673" s="155">
        <f>+IF(OR($Q673=Parametres!$G$2,$Q673=Parametres!$G$3),K673,E673)</f>
        <v>0</v>
      </c>
      <c r="Q673" s="154">
        <f t="shared" si="52"/>
        <v>0</v>
      </c>
      <c r="R673" s="153">
        <f t="shared" si="53"/>
        <v>0</v>
      </c>
      <c r="S673" s="154">
        <f t="shared" si="54"/>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hidden="1" customHeight="1">
      <c r="A674" s="150"/>
      <c r="B674" s="150"/>
      <c r="C674" s="151"/>
      <c r="D674" s="151"/>
      <c r="E674" s="151"/>
      <c r="F674" s="150"/>
      <c r="G674" s="150"/>
      <c r="H674" s="150"/>
      <c r="I674" s="157"/>
      <c r="J674" s="157"/>
      <c r="K674" s="157"/>
      <c r="L674" s="153">
        <f t="shared" si="50"/>
        <v>0</v>
      </c>
      <c r="M674" s="154">
        <f t="shared" si="51"/>
        <v>0</v>
      </c>
      <c r="N674" s="155">
        <f>+IF(OR($Q674=Parametres!$G$2,$Q674=Parametres!$G$3),I674,C674)</f>
        <v>0</v>
      </c>
      <c r="O674" s="1122">
        <f>+IF(OR($Q674=Parametres!$G$2,$Q674=Parametres!$G$3),J674,D674)</f>
        <v>0</v>
      </c>
      <c r="P674" s="155">
        <f>+IF(OR($Q674=Parametres!$G$2,$Q674=Parametres!$G$3),K674,E674)</f>
        <v>0</v>
      </c>
      <c r="Q674" s="154">
        <f t="shared" si="52"/>
        <v>0</v>
      </c>
      <c r="R674" s="153">
        <f t="shared" si="53"/>
        <v>0</v>
      </c>
      <c r="S674" s="154">
        <f t="shared" si="54"/>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hidden="1" customHeight="1">
      <c r="A675" s="150"/>
      <c r="B675" s="150"/>
      <c r="C675" s="151"/>
      <c r="D675" s="151"/>
      <c r="E675" s="151"/>
      <c r="F675" s="150"/>
      <c r="G675" s="150"/>
      <c r="H675" s="150"/>
      <c r="I675" s="157"/>
      <c r="J675" s="157"/>
      <c r="K675" s="157"/>
      <c r="L675" s="153">
        <f t="shared" si="50"/>
        <v>0</v>
      </c>
      <c r="M675" s="154">
        <f t="shared" si="51"/>
        <v>0</v>
      </c>
      <c r="N675" s="155">
        <f>+IF(OR($Q675=Parametres!$G$2,$Q675=Parametres!$G$3),I675,C675)</f>
        <v>0</v>
      </c>
      <c r="O675" s="1122">
        <f>+IF(OR($Q675=Parametres!$G$2,$Q675=Parametres!$G$3),J675,D675)</f>
        <v>0</v>
      </c>
      <c r="P675" s="155">
        <f>+IF(OR($Q675=Parametres!$G$2,$Q675=Parametres!$G$3),K675,E675)</f>
        <v>0</v>
      </c>
      <c r="Q675" s="154">
        <f t="shared" si="52"/>
        <v>0</v>
      </c>
      <c r="R675" s="153">
        <f t="shared" si="53"/>
        <v>0</v>
      </c>
      <c r="S675" s="154">
        <f t="shared" si="54"/>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hidden="1" customHeight="1">
      <c r="A676" s="150"/>
      <c r="B676" s="150"/>
      <c r="C676" s="151"/>
      <c r="D676" s="151"/>
      <c r="E676" s="151"/>
      <c r="F676" s="150"/>
      <c r="G676" s="150"/>
      <c r="H676" s="150"/>
      <c r="I676" s="157"/>
      <c r="J676" s="157"/>
      <c r="K676" s="157"/>
      <c r="L676" s="153">
        <f t="shared" si="50"/>
        <v>0</v>
      </c>
      <c r="M676" s="154">
        <f t="shared" si="51"/>
        <v>0</v>
      </c>
      <c r="N676" s="155">
        <f>+IF(OR($Q676=Parametres!$G$2,$Q676=Parametres!$G$3),I676,C676)</f>
        <v>0</v>
      </c>
      <c r="O676" s="1122">
        <f>+IF(OR($Q676=Parametres!$G$2,$Q676=Parametres!$G$3),J676,D676)</f>
        <v>0</v>
      </c>
      <c r="P676" s="155">
        <f>+IF(OR($Q676=Parametres!$G$2,$Q676=Parametres!$G$3),K676,E676)</f>
        <v>0</v>
      </c>
      <c r="Q676" s="154">
        <f t="shared" si="52"/>
        <v>0</v>
      </c>
      <c r="R676" s="153">
        <f t="shared" si="53"/>
        <v>0</v>
      </c>
      <c r="S676" s="154">
        <f t="shared" si="54"/>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hidden="1" customHeight="1">
      <c r="A677" s="150"/>
      <c r="B677" s="150"/>
      <c r="C677" s="151"/>
      <c r="D677" s="151"/>
      <c r="E677" s="151"/>
      <c r="F677" s="150"/>
      <c r="G677" s="150"/>
      <c r="H677" s="150"/>
      <c r="I677" s="157"/>
      <c r="J677" s="157"/>
      <c r="K677" s="157"/>
      <c r="L677" s="153">
        <f t="shared" si="50"/>
        <v>0</v>
      </c>
      <c r="M677" s="154">
        <f t="shared" si="51"/>
        <v>0</v>
      </c>
      <c r="N677" s="155">
        <f>+IF(OR($Q677=Parametres!$G$2,$Q677=Parametres!$G$3),I677,C677)</f>
        <v>0</v>
      </c>
      <c r="O677" s="1122">
        <f>+IF(OR($Q677=Parametres!$G$2,$Q677=Parametres!$G$3),J677,D677)</f>
        <v>0</v>
      </c>
      <c r="P677" s="155">
        <f>+IF(OR($Q677=Parametres!$G$2,$Q677=Parametres!$G$3),K677,E677)</f>
        <v>0</v>
      </c>
      <c r="Q677" s="154">
        <f t="shared" si="52"/>
        <v>0</v>
      </c>
      <c r="R677" s="153">
        <f t="shared" si="53"/>
        <v>0</v>
      </c>
      <c r="S677" s="154">
        <f t="shared" si="54"/>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hidden="1" customHeight="1">
      <c r="A678" s="150"/>
      <c r="B678" s="150"/>
      <c r="C678" s="151"/>
      <c r="D678" s="151"/>
      <c r="E678" s="151"/>
      <c r="F678" s="150"/>
      <c r="G678" s="150"/>
      <c r="H678" s="150"/>
      <c r="I678" s="157"/>
      <c r="J678" s="157"/>
      <c r="K678" s="157"/>
      <c r="L678" s="153">
        <f t="shared" si="50"/>
        <v>0</v>
      </c>
      <c r="M678" s="154">
        <f t="shared" si="51"/>
        <v>0</v>
      </c>
      <c r="N678" s="155">
        <f>+IF(OR($Q678=Parametres!$G$2,$Q678=Parametres!$G$3),I678,C678)</f>
        <v>0</v>
      </c>
      <c r="O678" s="1122">
        <f>+IF(OR($Q678=Parametres!$G$2,$Q678=Parametres!$G$3),J678,D678)</f>
        <v>0</v>
      </c>
      <c r="P678" s="155">
        <f>+IF(OR($Q678=Parametres!$G$2,$Q678=Parametres!$G$3),K678,E678)</f>
        <v>0</v>
      </c>
      <c r="Q678" s="154">
        <f t="shared" si="52"/>
        <v>0</v>
      </c>
      <c r="R678" s="153">
        <f t="shared" si="53"/>
        <v>0</v>
      </c>
      <c r="S678" s="154">
        <f t="shared" si="54"/>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hidden="1" customHeight="1">
      <c r="A679" s="150"/>
      <c r="B679" s="150"/>
      <c r="C679" s="151"/>
      <c r="D679" s="151"/>
      <c r="E679" s="151"/>
      <c r="F679" s="150"/>
      <c r="G679" s="150"/>
      <c r="H679" s="150"/>
      <c r="I679" s="157"/>
      <c r="J679" s="157"/>
      <c r="K679" s="157"/>
      <c r="L679" s="153">
        <f t="shared" si="50"/>
        <v>0</v>
      </c>
      <c r="M679" s="154">
        <f t="shared" si="51"/>
        <v>0</v>
      </c>
      <c r="N679" s="155">
        <f>+IF(OR($Q679=Parametres!$G$2,$Q679=Parametres!$G$3),I679,C679)</f>
        <v>0</v>
      </c>
      <c r="O679" s="1122">
        <f>+IF(OR($Q679=Parametres!$G$2,$Q679=Parametres!$G$3),J679,D679)</f>
        <v>0</v>
      </c>
      <c r="P679" s="155">
        <f>+IF(OR($Q679=Parametres!$G$2,$Q679=Parametres!$G$3),K679,E679)</f>
        <v>0</v>
      </c>
      <c r="Q679" s="154">
        <f t="shared" si="52"/>
        <v>0</v>
      </c>
      <c r="R679" s="153">
        <f t="shared" si="53"/>
        <v>0</v>
      </c>
      <c r="S679" s="154">
        <f t="shared" si="54"/>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hidden="1" customHeight="1">
      <c r="A680" s="150"/>
      <c r="B680" s="150"/>
      <c r="C680" s="151"/>
      <c r="D680" s="151"/>
      <c r="E680" s="151"/>
      <c r="F680" s="150"/>
      <c r="G680" s="150"/>
      <c r="H680" s="150"/>
      <c r="I680" s="157"/>
      <c r="J680" s="157"/>
      <c r="K680" s="157"/>
      <c r="L680" s="153">
        <f t="shared" si="50"/>
        <v>0</v>
      </c>
      <c r="M680" s="154">
        <f t="shared" si="51"/>
        <v>0</v>
      </c>
      <c r="N680" s="155">
        <f>+IF(OR($Q680=Parametres!$G$2,$Q680=Parametres!$G$3),I680,C680)</f>
        <v>0</v>
      </c>
      <c r="O680" s="1122">
        <f>+IF(OR($Q680=Parametres!$G$2,$Q680=Parametres!$G$3),J680,D680)</f>
        <v>0</v>
      </c>
      <c r="P680" s="155">
        <f>+IF(OR($Q680=Parametres!$G$2,$Q680=Parametres!$G$3),K680,E680)</f>
        <v>0</v>
      </c>
      <c r="Q680" s="154">
        <f t="shared" si="52"/>
        <v>0</v>
      </c>
      <c r="R680" s="153">
        <f t="shared" si="53"/>
        <v>0</v>
      </c>
      <c r="S680" s="154">
        <f t="shared" si="54"/>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hidden="1" customHeight="1">
      <c r="A681" s="150"/>
      <c r="B681" s="150"/>
      <c r="C681" s="151"/>
      <c r="D681" s="151"/>
      <c r="E681" s="151"/>
      <c r="F681" s="150"/>
      <c r="G681" s="150"/>
      <c r="H681" s="150"/>
      <c r="I681" s="157"/>
      <c r="J681" s="157"/>
      <c r="K681" s="157"/>
      <c r="L681" s="153">
        <f t="shared" si="50"/>
        <v>0</v>
      </c>
      <c r="M681" s="154">
        <f t="shared" si="51"/>
        <v>0</v>
      </c>
      <c r="N681" s="155">
        <f>+IF(OR($Q681=Parametres!$G$2,$Q681=Parametres!$G$3),I681,C681)</f>
        <v>0</v>
      </c>
      <c r="O681" s="1122">
        <f>+IF(OR($Q681=Parametres!$G$2,$Q681=Parametres!$G$3),J681,D681)</f>
        <v>0</v>
      </c>
      <c r="P681" s="155">
        <f>+IF(OR($Q681=Parametres!$G$2,$Q681=Parametres!$G$3),K681,E681)</f>
        <v>0</v>
      </c>
      <c r="Q681" s="154">
        <f t="shared" si="52"/>
        <v>0</v>
      </c>
      <c r="R681" s="153">
        <f t="shared" si="53"/>
        <v>0</v>
      </c>
      <c r="S681" s="154">
        <f t="shared" si="54"/>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hidden="1" customHeight="1">
      <c r="A682" s="150"/>
      <c r="B682" s="150"/>
      <c r="C682" s="151"/>
      <c r="D682" s="151"/>
      <c r="E682" s="151"/>
      <c r="F682" s="150"/>
      <c r="G682" s="150"/>
      <c r="H682" s="150"/>
      <c r="I682" s="157"/>
      <c r="J682" s="157"/>
      <c r="K682" s="157"/>
      <c r="L682" s="153">
        <f t="shared" si="50"/>
        <v>0</v>
      </c>
      <c r="M682" s="154">
        <f t="shared" si="51"/>
        <v>0</v>
      </c>
      <c r="N682" s="155">
        <f>+IF(OR($Q682=Parametres!$G$2,$Q682=Parametres!$G$3),I682,C682)</f>
        <v>0</v>
      </c>
      <c r="O682" s="1122">
        <f>+IF(OR($Q682=Parametres!$G$2,$Q682=Parametres!$G$3),J682,D682)</f>
        <v>0</v>
      </c>
      <c r="P682" s="155">
        <f>+IF(OR($Q682=Parametres!$G$2,$Q682=Parametres!$G$3),K682,E682)</f>
        <v>0</v>
      </c>
      <c r="Q682" s="154">
        <f t="shared" si="52"/>
        <v>0</v>
      </c>
      <c r="R682" s="153">
        <f t="shared" si="53"/>
        <v>0</v>
      </c>
      <c r="S682" s="154">
        <f t="shared" si="54"/>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hidden="1" customHeight="1">
      <c r="A683" s="150"/>
      <c r="B683" s="150"/>
      <c r="C683" s="151"/>
      <c r="D683" s="151"/>
      <c r="E683" s="151"/>
      <c r="F683" s="150"/>
      <c r="G683" s="150"/>
      <c r="H683" s="150"/>
      <c r="I683" s="157"/>
      <c r="J683" s="157"/>
      <c r="K683" s="157"/>
      <c r="L683" s="153">
        <f t="shared" si="50"/>
        <v>0</v>
      </c>
      <c r="M683" s="154">
        <f t="shared" si="51"/>
        <v>0</v>
      </c>
      <c r="N683" s="155">
        <f>+IF(OR($Q683=Parametres!$G$2,$Q683=Parametres!$G$3),I683,C683)</f>
        <v>0</v>
      </c>
      <c r="O683" s="1122">
        <f>+IF(OR($Q683=Parametres!$G$2,$Q683=Parametres!$G$3),J683,D683)</f>
        <v>0</v>
      </c>
      <c r="P683" s="155">
        <f>+IF(OR($Q683=Parametres!$G$2,$Q683=Parametres!$G$3),K683,E683)</f>
        <v>0</v>
      </c>
      <c r="Q683" s="154">
        <f t="shared" si="52"/>
        <v>0</v>
      </c>
      <c r="R683" s="153">
        <f t="shared" si="53"/>
        <v>0</v>
      </c>
      <c r="S683" s="154">
        <f t="shared" si="54"/>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hidden="1" customHeight="1">
      <c r="A684" s="150"/>
      <c r="B684" s="150"/>
      <c r="C684" s="151"/>
      <c r="D684" s="151"/>
      <c r="E684" s="151"/>
      <c r="F684" s="150"/>
      <c r="G684" s="150"/>
      <c r="H684" s="150"/>
      <c r="I684" s="157"/>
      <c r="J684" s="157"/>
      <c r="K684" s="157"/>
      <c r="L684" s="153">
        <f t="shared" si="50"/>
        <v>0</v>
      </c>
      <c r="M684" s="154">
        <f t="shared" si="51"/>
        <v>0</v>
      </c>
      <c r="N684" s="155">
        <f>+IF(OR($Q684=Parametres!$G$2,$Q684=Parametres!$G$3),I684,C684)</f>
        <v>0</v>
      </c>
      <c r="O684" s="1122">
        <f>+IF(OR($Q684=Parametres!$G$2,$Q684=Parametres!$G$3),J684,D684)</f>
        <v>0</v>
      </c>
      <c r="P684" s="155">
        <f>+IF(OR($Q684=Parametres!$G$2,$Q684=Parametres!$G$3),K684,E684)</f>
        <v>0</v>
      </c>
      <c r="Q684" s="154">
        <f t="shared" si="52"/>
        <v>0</v>
      </c>
      <c r="R684" s="153">
        <f t="shared" si="53"/>
        <v>0</v>
      </c>
      <c r="S684" s="154">
        <f t="shared" si="54"/>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hidden="1" customHeight="1">
      <c r="A685" s="150"/>
      <c r="B685" s="150"/>
      <c r="C685" s="151"/>
      <c r="D685" s="151"/>
      <c r="E685" s="151"/>
      <c r="F685" s="150"/>
      <c r="G685" s="150"/>
      <c r="H685" s="150"/>
      <c r="I685" s="157"/>
      <c r="J685" s="157"/>
      <c r="K685" s="157"/>
      <c r="L685" s="153">
        <f t="shared" si="50"/>
        <v>0</v>
      </c>
      <c r="M685" s="154">
        <f t="shared" si="51"/>
        <v>0</v>
      </c>
      <c r="N685" s="155">
        <f>+IF(OR($Q685=Parametres!$G$2,$Q685=Parametres!$G$3),I685,C685)</f>
        <v>0</v>
      </c>
      <c r="O685" s="1122">
        <f>+IF(OR($Q685=Parametres!$G$2,$Q685=Parametres!$G$3),J685,D685)</f>
        <v>0</v>
      </c>
      <c r="P685" s="155">
        <f>+IF(OR($Q685=Parametres!$G$2,$Q685=Parametres!$G$3),K685,E685)</f>
        <v>0</v>
      </c>
      <c r="Q685" s="154">
        <f t="shared" si="52"/>
        <v>0</v>
      </c>
      <c r="R685" s="153">
        <f t="shared" si="53"/>
        <v>0</v>
      </c>
      <c r="S685" s="154">
        <f t="shared" si="54"/>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hidden="1" customHeight="1">
      <c r="A686" s="150"/>
      <c r="B686" s="150"/>
      <c r="C686" s="151"/>
      <c r="D686" s="151"/>
      <c r="E686" s="151"/>
      <c r="F686" s="150"/>
      <c r="G686" s="150"/>
      <c r="H686" s="150"/>
      <c r="I686" s="157"/>
      <c r="J686" s="157"/>
      <c r="K686" s="157"/>
      <c r="L686" s="153">
        <f t="shared" si="50"/>
        <v>0</v>
      </c>
      <c r="M686" s="154">
        <f t="shared" si="51"/>
        <v>0</v>
      </c>
      <c r="N686" s="155">
        <f>+IF(OR($Q686=Parametres!$G$2,$Q686=Parametres!$G$3),I686,C686)</f>
        <v>0</v>
      </c>
      <c r="O686" s="1124">
        <f>+IF(OR($Q686=Parametres!$G$2,$Q686=Parametres!$G$3),J686,D686)</f>
        <v>0</v>
      </c>
      <c r="P686" s="155">
        <f>+IF(OR($Q686=Parametres!$G$2,$Q686=Parametres!$G$3),K686,E686)</f>
        <v>0</v>
      </c>
      <c r="Q686" s="154">
        <f t="shared" si="52"/>
        <v>0</v>
      </c>
      <c r="R686" s="153">
        <f t="shared" si="53"/>
        <v>0</v>
      </c>
      <c r="S686" s="154">
        <f t="shared" si="54"/>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hidden="1" customHeight="1">
      <c r="A687" s="150"/>
      <c r="B687" s="150"/>
      <c r="C687" s="151"/>
      <c r="D687" s="151"/>
      <c r="E687" s="151"/>
      <c r="F687" s="150"/>
      <c r="G687" s="150"/>
      <c r="H687" s="150"/>
      <c r="I687" s="157"/>
      <c r="J687" s="157"/>
      <c r="K687" s="157"/>
      <c r="L687" s="153">
        <f t="shared" si="50"/>
        <v>0</v>
      </c>
      <c r="M687" s="154">
        <f t="shared" si="51"/>
        <v>0</v>
      </c>
      <c r="N687" s="155">
        <f>+IF(OR($Q687=Parametres!$G$2,$Q687=Parametres!$G$3),I687,C687)</f>
        <v>0</v>
      </c>
      <c r="O687" s="1122">
        <f>+IF(OR($Q687=Parametres!$G$2,$Q687=Parametres!$G$3),J687,D687)</f>
        <v>0</v>
      </c>
      <c r="P687" s="155">
        <f>+IF(OR($Q687=Parametres!$G$2,$Q687=Parametres!$G$3),K687,E687)</f>
        <v>0</v>
      </c>
      <c r="Q687" s="154">
        <f t="shared" si="52"/>
        <v>0</v>
      </c>
      <c r="R687" s="153">
        <f t="shared" si="53"/>
        <v>0</v>
      </c>
      <c r="S687" s="154">
        <f t="shared" si="54"/>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hidden="1" customHeight="1">
      <c r="A688" s="150"/>
      <c r="B688" s="150"/>
      <c r="C688" s="151"/>
      <c r="D688" s="151"/>
      <c r="E688" s="151"/>
      <c r="F688" s="150"/>
      <c r="G688" s="150"/>
      <c r="H688" s="150"/>
      <c r="I688" s="157"/>
      <c r="J688" s="157"/>
      <c r="K688" s="157"/>
      <c r="L688" s="153">
        <f t="shared" si="50"/>
        <v>0</v>
      </c>
      <c r="M688" s="154">
        <f t="shared" si="51"/>
        <v>0</v>
      </c>
      <c r="N688" s="155">
        <f>+IF(OR($Q688=Parametres!$G$2,$Q688=Parametres!$G$3),I688,C688)</f>
        <v>0</v>
      </c>
      <c r="O688" s="1122">
        <f>+IF(OR($Q688=Parametres!$G$2,$Q688=Parametres!$G$3),J688,D688)</f>
        <v>0</v>
      </c>
      <c r="P688" s="155">
        <f>+IF(OR($Q688=Parametres!$G$2,$Q688=Parametres!$G$3),K688,E688)</f>
        <v>0</v>
      </c>
      <c r="Q688" s="154">
        <f t="shared" si="52"/>
        <v>0</v>
      </c>
      <c r="R688" s="153">
        <f t="shared" si="53"/>
        <v>0</v>
      </c>
      <c r="S688" s="154">
        <f t="shared" si="54"/>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hidden="1" customHeight="1">
      <c r="A689" s="150"/>
      <c r="B689" s="150"/>
      <c r="C689" s="151"/>
      <c r="D689" s="151"/>
      <c r="E689" s="151"/>
      <c r="F689" s="150"/>
      <c r="G689" s="150"/>
      <c r="H689" s="150"/>
      <c r="I689" s="157"/>
      <c r="J689" s="157"/>
      <c r="K689" s="157"/>
      <c r="L689" s="153">
        <f t="shared" si="50"/>
        <v>0</v>
      </c>
      <c r="M689" s="154">
        <f t="shared" si="51"/>
        <v>0</v>
      </c>
      <c r="N689" s="155">
        <f>+IF(OR($Q689=Parametres!$G$2,$Q689=Parametres!$G$3),I689,C689)</f>
        <v>0</v>
      </c>
      <c r="O689" s="1122">
        <f>+IF(OR($Q689=Parametres!$G$2,$Q689=Parametres!$G$3),J689,D689)</f>
        <v>0</v>
      </c>
      <c r="P689" s="155">
        <f>+IF(OR($Q689=Parametres!$G$2,$Q689=Parametres!$G$3),K689,E689)</f>
        <v>0</v>
      </c>
      <c r="Q689" s="154">
        <f t="shared" si="52"/>
        <v>0</v>
      </c>
      <c r="R689" s="153">
        <f t="shared" si="53"/>
        <v>0</v>
      </c>
      <c r="S689" s="154">
        <f t="shared" si="54"/>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hidden="1" customHeight="1">
      <c r="A690" s="150"/>
      <c r="B690" s="150"/>
      <c r="C690" s="151"/>
      <c r="D690" s="151"/>
      <c r="E690" s="151"/>
      <c r="F690" s="150"/>
      <c r="G690" s="150"/>
      <c r="H690" s="150"/>
      <c r="I690" s="157"/>
      <c r="J690" s="157"/>
      <c r="K690" s="157"/>
      <c r="L690" s="153">
        <f t="shared" si="50"/>
        <v>0</v>
      </c>
      <c r="M690" s="154">
        <f t="shared" si="51"/>
        <v>0</v>
      </c>
      <c r="N690" s="155">
        <f>+IF(OR($Q690=Parametres!$G$2,$Q690=Parametres!$G$3),I690,C690)</f>
        <v>0</v>
      </c>
      <c r="O690" s="1122">
        <f>+IF(OR($Q690=Parametres!$G$2,$Q690=Parametres!$G$3),J690,D690)</f>
        <v>0</v>
      </c>
      <c r="P690" s="155">
        <f>+IF(OR($Q690=Parametres!$G$2,$Q690=Parametres!$G$3),K690,E690)</f>
        <v>0</v>
      </c>
      <c r="Q690" s="154">
        <f t="shared" si="52"/>
        <v>0</v>
      </c>
      <c r="R690" s="153">
        <f t="shared" si="53"/>
        <v>0</v>
      </c>
      <c r="S690" s="154">
        <f t="shared" si="54"/>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hidden="1" customHeight="1">
      <c r="A691" s="150"/>
      <c r="B691" s="150"/>
      <c r="C691" s="151"/>
      <c r="D691" s="151"/>
      <c r="E691" s="151"/>
      <c r="F691" s="150"/>
      <c r="G691" s="150"/>
      <c r="H691" s="150"/>
      <c r="I691" s="157"/>
      <c r="J691" s="157"/>
      <c r="K691" s="157"/>
      <c r="L691" s="153">
        <f t="shared" si="50"/>
        <v>0</v>
      </c>
      <c r="M691" s="154">
        <f t="shared" si="51"/>
        <v>0</v>
      </c>
      <c r="N691" s="155">
        <f>+IF(OR($Q691=Parametres!$G$2,$Q691=Parametres!$G$3),I691,C691)</f>
        <v>0</v>
      </c>
      <c r="O691" s="1122">
        <f>+IF(OR($Q691=Parametres!$G$2,$Q691=Parametres!$G$3),J691,D691)</f>
        <v>0</v>
      </c>
      <c r="P691" s="155">
        <f>+IF(OR($Q691=Parametres!$G$2,$Q691=Parametres!$G$3),K691,E691)</f>
        <v>0</v>
      </c>
      <c r="Q691" s="154">
        <f t="shared" si="52"/>
        <v>0</v>
      </c>
      <c r="R691" s="153">
        <f t="shared" si="53"/>
        <v>0</v>
      </c>
      <c r="S691" s="154">
        <f t="shared" si="54"/>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hidden="1" customHeight="1">
      <c r="A692" s="150"/>
      <c r="B692" s="150"/>
      <c r="C692" s="151"/>
      <c r="D692" s="151"/>
      <c r="E692" s="151"/>
      <c r="F692" s="150"/>
      <c r="G692" s="150"/>
      <c r="H692" s="150"/>
      <c r="I692" s="157"/>
      <c r="J692" s="157"/>
      <c r="K692" s="157"/>
      <c r="L692" s="153">
        <f t="shared" si="50"/>
        <v>0</v>
      </c>
      <c r="M692" s="154">
        <f t="shared" si="51"/>
        <v>0</v>
      </c>
      <c r="N692" s="155">
        <f>+IF(OR($Q692=Parametres!$G$2,$Q692=Parametres!$G$3),I692,C692)</f>
        <v>0</v>
      </c>
      <c r="O692" s="1122">
        <f>+IF(OR($Q692=Parametres!$G$2,$Q692=Parametres!$G$3),J692,D692)</f>
        <v>0</v>
      </c>
      <c r="P692" s="155">
        <f>+IF(OR($Q692=Parametres!$G$2,$Q692=Parametres!$G$3),K692,E692)</f>
        <v>0</v>
      </c>
      <c r="Q692" s="154">
        <f t="shared" si="52"/>
        <v>0</v>
      </c>
      <c r="R692" s="153">
        <f t="shared" si="53"/>
        <v>0</v>
      </c>
      <c r="S692" s="154">
        <f t="shared" si="54"/>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hidden="1" customHeight="1">
      <c r="A693" s="150"/>
      <c r="B693" s="150"/>
      <c r="C693" s="151"/>
      <c r="D693" s="151"/>
      <c r="E693" s="151"/>
      <c r="F693" s="150"/>
      <c r="G693" s="150"/>
      <c r="H693" s="150"/>
      <c r="I693" s="157"/>
      <c r="J693" s="157"/>
      <c r="K693" s="157"/>
      <c r="L693" s="153">
        <f t="shared" si="50"/>
        <v>0</v>
      </c>
      <c r="M693" s="154">
        <f t="shared" si="51"/>
        <v>0</v>
      </c>
      <c r="N693" s="155">
        <f>+IF(OR($Q693=Parametres!$G$2,$Q693=Parametres!$G$3),I693,C693)</f>
        <v>0</v>
      </c>
      <c r="O693" s="1122">
        <f>+IF(OR($Q693=Parametres!$G$2,$Q693=Parametres!$G$3),J693,D693)</f>
        <v>0</v>
      </c>
      <c r="P693" s="155">
        <f>+IF(OR($Q693=Parametres!$G$2,$Q693=Parametres!$G$3),K693,E693)</f>
        <v>0</v>
      </c>
      <c r="Q693" s="154">
        <f t="shared" si="52"/>
        <v>0</v>
      </c>
      <c r="R693" s="153">
        <f t="shared" si="53"/>
        <v>0</v>
      </c>
      <c r="S693" s="154">
        <f t="shared" si="54"/>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hidden="1" customHeight="1">
      <c r="A694" s="150"/>
      <c r="B694" s="150"/>
      <c r="C694" s="151"/>
      <c r="D694" s="151"/>
      <c r="E694" s="151"/>
      <c r="F694" s="150"/>
      <c r="G694" s="150"/>
      <c r="H694" s="150"/>
      <c r="I694" s="157"/>
      <c r="J694" s="157"/>
      <c r="K694" s="157"/>
      <c r="L694" s="153">
        <f t="shared" si="50"/>
        <v>0</v>
      </c>
      <c r="M694" s="154">
        <f t="shared" si="51"/>
        <v>0</v>
      </c>
      <c r="N694" s="155">
        <f>+IF(OR($Q694=Parametres!$G$2,$Q694=Parametres!$G$3),I694,C694)</f>
        <v>0</v>
      </c>
      <c r="O694" s="1122">
        <f>+IF(OR($Q694=Parametres!$G$2,$Q694=Parametres!$G$3),J694,D694)</f>
        <v>0</v>
      </c>
      <c r="P694" s="155">
        <f>+IF(OR($Q694=Parametres!$G$2,$Q694=Parametres!$G$3),K694,E694)</f>
        <v>0</v>
      </c>
      <c r="Q694" s="154">
        <f t="shared" si="52"/>
        <v>0</v>
      </c>
      <c r="R694" s="153">
        <f t="shared" si="53"/>
        <v>0</v>
      </c>
      <c r="S694" s="154">
        <f t="shared" si="54"/>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hidden="1" customHeight="1">
      <c r="A695" s="150"/>
      <c r="B695" s="150"/>
      <c r="C695" s="151"/>
      <c r="D695" s="151"/>
      <c r="E695" s="151"/>
      <c r="F695" s="150"/>
      <c r="G695" s="150"/>
      <c r="H695" s="150"/>
      <c r="I695" s="157"/>
      <c r="J695" s="157"/>
      <c r="K695" s="157"/>
      <c r="L695" s="153">
        <f t="shared" si="50"/>
        <v>0</v>
      </c>
      <c r="M695" s="154">
        <f t="shared" si="51"/>
        <v>0</v>
      </c>
      <c r="N695" s="155">
        <f>+IF(OR($Q695=Parametres!$G$2,$Q695=Parametres!$G$3),I695,C695)</f>
        <v>0</v>
      </c>
      <c r="O695" s="1122">
        <f>+IF(OR($Q695=Parametres!$G$2,$Q695=Parametres!$G$3),J695,D695)</f>
        <v>0</v>
      </c>
      <c r="P695" s="155">
        <f>+IF(OR($Q695=Parametres!$G$2,$Q695=Parametres!$G$3),K695,E695)</f>
        <v>0</v>
      </c>
      <c r="Q695" s="154">
        <f t="shared" si="52"/>
        <v>0</v>
      </c>
      <c r="R695" s="153">
        <f t="shared" si="53"/>
        <v>0</v>
      </c>
      <c r="S695" s="154">
        <f t="shared" si="54"/>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hidden="1" customHeight="1">
      <c r="A696" s="157"/>
      <c r="B696" s="158"/>
      <c r="C696" s="159"/>
      <c r="D696" s="157"/>
      <c r="E696" s="157"/>
      <c r="F696" s="157"/>
      <c r="G696" s="157"/>
      <c r="H696" s="157"/>
      <c r="I696" s="157"/>
      <c r="J696" s="157"/>
      <c r="K696" s="157"/>
      <c r="L696" s="153">
        <f t="shared" si="50"/>
        <v>0</v>
      </c>
      <c r="M696" s="154">
        <f t="shared" si="51"/>
        <v>0</v>
      </c>
      <c r="N696" s="155">
        <f>+IF(OR($Q696=Parametres!$G$2,$Q696=Parametres!$G$3),I696,C696)</f>
        <v>0</v>
      </c>
      <c r="O696" s="1122">
        <f>+IF(OR($Q696=Parametres!$G$2,$Q696=Parametres!$G$3),J696,D696)</f>
        <v>0</v>
      </c>
      <c r="P696" s="155">
        <f>+IF(OR($Q696=Parametres!$G$2,$Q696=Parametres!$G$3),K696,E696)</f>
        <v>0</v>
      </c>
      <c r="Q696" s="154">
        <f t="shared" si="52"/>
        <v>0</v>
      </c>
      <c r="R696" s="153">
        <f t="shared" si="53"/>
        <v>0</v>
      </c>
      <c r="S696" s="154">
        <f t="shared" si="54"/>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hidden="1" customHeight="1">
      <c r="A697" s="157"/>
      <c r="B697" s="158"/>
      <c r="C697" s="159"/>
      <c r="D697" s="157"/>
      <c r="E697" s="157"/>
      <c r="F697" s="157"/>
      <c r="G697" s="157"/>
      <c r="H697" s="157"/>
      <c r="I697" s="157"/>
      <c r="J697" s="157"/>
      <c r="K697" s="157"/>
      <c r="L697" s="153">
        <f t="shared" si="50"/>
        <v>0</v>
      </c>
      <c r="M697" s="154">
        <f t="shared" si="51"/>
        <v>0</v>
      </c>
      <c r="N697" s="155">
        <f>+IF(OR($Q697=Parametres!$G$2,$Q697=Parametres!$G$3),I697,C697)</f>
        <v>0</v>
      </c>
      <c r="O697" s="1122">
        <f>+IF(OR($Q697=Parametres!$G$2,$Q697=Parametres!$G$3),J697,D697)</f>
        <v>0</v>
      </c>
      <c r="P697" s="155">
        <f>+IF(OR($Q697=Parametres!$G$2,$Q697=Parametres!$G$3),K697,E697)</f>
        <v>0</v>
      </c>
      <c r="Q697" s="154">
        <f t="shared" si="52"/>
        <v>0</v>
      </c>
      <c r="R697" s="153">
        <f t="shared" si="53"/>
        <v>0</v>
      </c>
      <c r="S697" s="154">
        <f t="shared" si="54"/>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hidden="1" customHeight="1">
      <c r="A698" s="157"/>
      <c r="B698" s="158"/>
      <c r="C698" s="159"/>
      <c r="D698" s="157"/>
      <c r="E698" s="157"/>
      <c r="F698" s="157"/>
      <c r="G698" s="157"/>
      <c r="H698" s="157"/>
      <c r="I698" s="157"/>
      <c r="J698" s="157"/>
      <c r="K698" s="157"/>
      <c r="L698" s="153">
        <f t="shared" si="50"/>
        <v>0</v>
      </c>
      <c r="M698" s="154">
        <f t="shared" si="51"/>
        <v>0</v>
      </c>
      <c r="N698" s="155">
        <f>+IF(OR($Q698=Parametres!$G$2,$Q698=Parametres!$G$3),I698,C698)</f>
        <v>0</v>
      </c>
      <c r="O698" s="1122">
        <f>+IF(OR($Q698=Parametres!$G$2,$Q698=Parametres!$G$3),J698,D698)</f>
        <v>0</v>
      </c>
      <c r="P698" s="155">
        <f>+IF(OR($Q698=Parametres!$G$2,$Q698=Parametres!$G$3),K698,E698)</f>
        <v>0</v>
      </c>
      <c r="Q698" s="154">
        <f t="shared" si="52"/>
        <v>0</v>
      </c>
      <c r="R698" s="153">
        <f t="shared" si="53"/>
        <v>0</v>
      </c>
      <c r="S698" s="154">
        <f t="shared" si="54"/>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hidden="1" customHeight="1">
      <c r="A699" s="157"/>
      <c r="B699" s="158"/>
      <c r="C699" s="159"/>
      <c r="D699" s="157"/>
      <c r="E699" s="157"/>
      <c r="F699" s="157"/>
      <c r="G699" s="157"/>
      <c r="H699" s="157"/>
      <c r="I699" s="157"/>
      <c r="J699" s="157"/>
      <c r="K699" s="157"/>
      <c r="L699" s="153">
        <f t="shared" si="50"/>
        <v>0</v>
      </c>
      <c r="M699" s="154">
        <f t="shared" si="51"/>
        <v>0</v>
      </c>
      <c r="N699" s="155">
        <f>+IF(OR($Q699=Parametres!$G$2,$Q699=Parametres!$G$3),I699,C699)</f>
        <v>0</v>
      </c>
      <c r="O699" s="1122">
        <f>+IF(OR($Q699=Parametres!$G$2,$Q699=Parametres!$G$3),J699,D699)</f>
        <v>0</v>
      </c>
      <c r="P699" s="155">
        <f>+IF(OR($Q699=Parametres!$G$2,$Q699=Parametres!$G$3),K699,E699)</f>
        <v>0</v>
      </c>
      <c r="Q699" s="154">
        <f t="shared" si="52"/>
        <v>0</v>
      </c>
      <c r="R699" s="153">
        <f t="shared" si="53"/>
        <v>0</v>
      </c>
      <c r="S699" s="154">
        <f t="shared" si="54"/>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hidden="1" customHeight="1">
      <c r="A700" s="157"/>
      <c r="B700" s="158"/>
      <c r="C700" s="159"/>
      <c r="D700" s="157"/>
      <c r="E700" s="157"/>
      <c r="F700" s="157"/>
      <c r="G700" s="157"/>
      <c r="H700" s="157"/>
      <c r="I700" s="157"/>
      <c r="J700" s="157"/>
      <c r="K700" s="157"/>
      <c r="L700" s="153">
        <f t="shared" si="50"/>
        <v>0</v>
      </c>
      <c r="M700" s="154">
        <f t="shared" si="51"/>
        <v>0</v>
      </c>
      <c r="N700" s="155">
        <f>+IF(OR($Q700=Parametres!$G$2,$Q700=Parametres!$G$3),I700,C700)</f>
        <v>0</v>
      </c>
      <c r="O700" s="1122">
        <f>+IF(OR($Q700=Parametres!$G$2,$Q700=Parametres!$G$3),J700,D700)</f>
        <v>0</v>
      </c>
      <c r="P700" s="155">
        <f>+IF(OR($Q700=Parametres!$G$2,$Q700=Parametres!$G$3),K700,E700)</f>
        <v>0</v>
      </c>
      <c r="Q700" s="154">
        <f t="shared" si="52"/>
        <v>0</v>
      </c>
      <c r="R700" s="153">
        <f t="shared" si="53"/>
        <v>0</v>
      </c>
      <c r="S700" s="154">
        <f t="shared" si="54"/>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hidden="1" customHeight="1">
      <c r="A701" s="157"/>
      <c r="B701" s="158"/>
      <c r="C701" s="159"/>
      <c r="D701" s="157"/>
      <c r="E701" s="157"/>
      <c r="F701" s="157"/>
      <c r="G701" s="157"/>
      <c r="H701" s="157"/>
      <c r="I701" s="157"/>
      <c r="J701" s="157"/>
      <c r="K701" s="157"/>
      <c r="L701" s="153">
        <f t="shared" si="50"/>
        <v>0</v>
      </c>
      <c r="M701" s="154">
        <f t="shared" si="51"/>
        <v>0</v>
      </c>
      <c r="N701" s="155">
        <f>+IF(OR($Q701=Parametres!$G$2,$Q701=Parametres!$G$3),I701,C701)</f>
        <v>0</v>
      </c>
      <c r="O701" s="1122">
        <f>+IF(OR($Q701=Parametres!$G$2,$Q701=Parametres!$G$3),J701,D701)</f>
        <v>0</v>
      </c>
      <c r="P701" s="155">
        <f>+IF(OR($Q701=Parametres!$G$2,$Q701=Parametres!$G$3),K701,E701)</f>
        <v>0</v>
      </c>
      <c r="Q701" s="154">
        <f t="shared" si="52"/>
        <v>0</v>
      </c>
      <c r="R701" s="153">
        <f t="shared" si="53"/>
        <v>0</v>
      </c>
      <c r="S701" s="154">
        <f t="shared" si="54"/>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hidden="1" customHeight="1">
      <c r="A702" s="157"/>
      <c r="B702" s="158"/>
      <c r="C702" s="159"/>
      <c r="D702" s="157"/>
      <c r="E702" s="157"/>
      <c r="F702" s="157"/>
      <c r="G702" s="157"/>
      <c r="H702" s="157"/>
      <c r="I702" s="157"/>
      <c r="J702" s="157"/>
      <c r="K702" s="157"/>
      <c r="L702" s="153">
        <f t="shared" si="50"/>
        <v>0</v>
      </c>
      <c r="M702" s="154">
        <f t="shared" si="51"/>
        <v>0</v>
      </c>
      <c r="N702" s="155">
        <f>+IF(OR($Q702=Parametres!$G$2,$Q702=Parametres!$G$3),I702,C702)</f>
        <v>0</v>
      </c>
      <c r="O702" s="1122">
        <f>+IF(OR($Q702=Parametres!$G$2,$Q702=Parametres!$G$3),J702,D702)</f>
        <v>0</v>
      </c>
      <c r="P702" s="155">
        <f>+IF(OR($Q702=Parametres!$G$2,$Q702=Parametres!$G$3),K702,E702)</f>
        <v>0</v>
      </c>
      <c r="Q702" s="154">
        <f t="shared" si="52"/>
        <v>0</v>
      </c>
      <c r="R702" s="153">
        <f t="shared" si="53"/>
        <v>0</v>
      </c>
      <c r="S702" s="154">
        <f t="shared" si="54"/>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hidden="1" customHeight="1">
      <c r="A703" s="157"/>
      <c r="B703" s="158"/>
      <c r="C703" s="159"/>
      <c r="D703" s="157"/>
      <c r="E703" s="157"/>
      <c r="F703" s="157"/>
      <c r="G703" s="157"/>
      <c r="H703" s="157"/>
      <c r="I703" s="157"/>
      <c r="J703" s="157"/>
      <c r="K703" s="157"/>
      <c r="L703" s="153">
        <f t="shared" si="50"/>
        <v>0</v>
      </c>
      <c r="M703" s="154">
        <f t="shared" si="51"/>
        <v>0</v>
      </c>
      <c r="N703" s="155">
        <f>+IF(OR($Q703=Parametres!$G$2,$Q703=Parametres!$G$3),I703,C703)</f>
        <v>0</v>
      </c>
      <c r="O703" s="1122">
        <f>+IF(OR($Q703=Parametres!$G$2,$Q703=Parametres!$G$3),J703,D703)</f>
        <v>0</v>
      </c>
      <c r="P703" s="155">
        <f>+IF(OR($Q703=Parametres!$G$2,$Q703=Parametres!$G$3),K703,E703)</f>
        <v>0</v>
      </c>
      <c r="Q703" s="154">
        <f t="shared" si="52"/>
        <v>0</v>
      </c>
      <c r="R703" s="153">
        <f t="shared" si="53"/>
        <v>0</v>
      </c>
      <c r="S703" s="154">
        <f t="shared" si="54"/>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hidden="1" customHeight="1">
      <c r="A704" s="157"/>
      <c r="B704" s="158"/>
      <c r="C704" s="159"/>
      <c r="D704" s="157"/>
      <c r="E704" s="157"/>
      <c r="F704" s="157"/>
      <c r="G704" s="157"/>
      <c r="H704" s="157"/>
      <c r="I704" s="157"/>
      <c r="J704" s="157"/>
      <c r="K704" s="157"/>
      <c r="L704" s="153">
        <f t="shared" si="50"/>
        <v>0</v>
      </c>
      <c r="M704" s="154">
        <f t="shared" si="51"/>
        <v>0</v>
      </c>
      <c r="N704" s="155">
        <f>+IF(OR($Q704=Parametres!$G$2,$Q704=Parametres!$G$3),I704,C704)</f>
        <v>0</v>
      </c>
      <c r="O704" s="1122">
        <f>+IF(OR($Q704=Parametres!$G$2,$Q704=Parametres!$G$3),J704,D704)</f>
        <v>0</v>
      </c>
      <c r="P704" s="155">
        <f>+IF(OR($Q704=Parametres!$G$2,$Q704=Parametres!$G$3),K704,E704)</f>
        <v>0</v>
      </c>
      <c r="Q704" s="154">
        <f t="shared" si="52"/>
        <v>0</v>
      </c>
      <c r="R704" s="153">
        <f t="shared" si="53"/>
        <v>0</v>
      </c>
      <c r="S704" s="154">
        <f t="shared" si="54"/>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hidden="1" customHeight="1">
      <c r="A705" s="157"/>
      <c r="B705" s="158"/>
      <c r="C705" s="159"/>
      <c r="D705" s="157"/>
      <c r="E705" s="157"/>
      <c r="F705" s="157"/>
      <c r="G705" s="157"/>
      <c r="H705" s="157"/>
      <c r="I705" s="157"/>
      <c r="J705" s="157"/>
      <c r="K705" s="157"/>
      <c r="L705" s="153">
        <f t="shared" si="50"/>
        <v>0</v>
      </c>
      <c r="M705" s="154">
        <f t="shared" si="51"/>
        <v>0</v>
      </c>
      <c r="N705" s="155">
        <f>+IF(OR($Q705=Parametres!$G$2,$Q705=Parametres!$G$3),I705,C705)</f>
        <v>0</v>
      </c>
      <c r="O705" s="1122">
        <f>+IF(OR($Q705=Parametres!$G$2,$Q705=Parametres!$G$3),J705,D705)</f>
        <v>0</v>
      </c>
      <c r="P705" s="155">
        <f>+IF(OR($Q705=Parametres!$G$2,$Q705=Parametres!$G$3),K705,E705)</f>
        <v>0</v>
      </c>
      <c r="Q705" s="154">
        <f t="shared" si="52"/>
        <v>0</v>
      </c>
      <c r="R705" s="153">
        <f t="shared" si="53"/>
        <v>0</v>
      </c>
      <c r="S705" s="154">
        <f t="shared" si="54"/>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hidden="1" customHeight="1">
      <c r="A706" s="157"/>
      <c r="B706" s="158"/>
      <c r="C706" s="159"/>
      <c r="D706" s="157"/>
      <c r="E706" s="157"/>
      <c r="F706" s="157"/>
      <c r="G706" s="157"/>
      <c r="H706" s="157"/>
      <c r="I706" s="157"/>
      <c r="J706" s="157"/>
      <c r="K706" s="157"/>
      <c r="L706" s="153">
        <f t="shared" ref="L706:L769" si="55">+B706</f>
        <v>0</v>
      </c>
      <c r="M706" s="154">
        <f t="shared" ref="M706:M769" si="56">+A706</f>
        <v>0</v>
      </c>
      <c r="N706" s="155">
        <f>+IF(OR($Q706=Parametres!$G$2,$Q706=Parametres!$G$3),I706,C706)</f>
        <v>0</v>
      </c>
      <c r="O706" s="1122">
        <f>+IF(OR($Q706=Parametres!$G$2,$Q706=Parametres!$G$3),J706,D706)</f>
        <v>0</v>
      </c>
      <c r="P706" s="155">
        <f>+IF(OR($Q706=Parametres!$G$2,$Q706=Parametres!$G$3),K706,E706)</f>
        <v>0</v>
      </c>
      <c r="Q706" s="154">
        <f t="shared" ref="Q706:Q769" si="57">+F706</f>
        <v>0</v>
      </c>
      <c r="R706" s="153">
        <f t="shared" ref="R706:R769" si="58">+G706</f>
        <v>0</v>
      </c>
      <c r="S706" s="154">
        <f t="shared" ref="S706:S769" si="59">+H706</f>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hidden="1" customHeight="1">
      <c r="A707" s="157"/>
      <c r="B707" s="158"/>
      <c r="C707" s="159"/>
      <c r="D707" s="157"/>
      <c r="E707" s="157"/>
      <c r="F707" s="157"/>
      <c r="G707" s="157"/>
      <c r="H707" s="157"/>
      <c r="I707" s="157"/>
      <c r="J707" s="157"/>
      <c r="K707" s="157"/>
      <c r="L707" s="153">
        <f t="shared" si="55"/>
        <v>0</v>
      </c>
      <c r="M707" s="154">
        <f t="shared" si="56"/>
        <v>0</v>
      </c>
      <c r="N707" s="155">
        <f>+IF(OR($Q707=Parametres!$G$2,$Q707=Parametres!$G$3),I707,C707)</f>
        <v>0</v>
      </c>
      <c r="O707" s="1122">
        <f>+IF(OR($Q707=Parametres!$G$2,$Q707=Parametres!$G$3),J707,D707)</f>
        <v>0</v>
      </c>
      <c r="P707" s="155">
        <f>+IF(OR($Q707=Parametres!$G$2,$Q707=Parametres!$G$3),K707,E707)</f>
        <v>0</v>
      </c>
      <c r="Q707" s="154">
        <f t="shared" si="57"/>
        <v>0</v>
      </c>
      <c r="R707" s="153">
        <f t="shared" si="58"/>
        <v>0</v>
      </c>
      <c r="S707" s="154">
        <f t="shared" si="59"/>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hidden="1" customHeight="1">
      <c r="A708" s="157"/>
      <c r="B708" s="158"/>
      <c r="C708" s="159"/>
      <c r="D708" s="157"/>
      <c r="E708" s="157"/>
      <c r="F708" s="157"/>
      <c r="G708" s="157"/>
      <c r="H708" s="157"/>
      <c r="I708" s="157"/>
      <c r="J708" s="157"/>
      <c r="K708" s="157"/>
      <c r="L708" s="153">
        <f t="shared" si="55"/>
        <v>0</v>
      </c>
      <c r="M708" s="154">
        <f t="shared" si="56"/>
        <v>0</v>
      </c>
      <c r="N708" s="155">
        <f>+IF(OR($Q708=Parametres!$G$2,$Q708=Parametres!$G$3),I708,C708)</f>
        <v>0</v>
      </c>
      <c r="O708" s="1122">
        <f>+IF(OR($Q708=Parametres!$G$2,$Q708=Parametres!$G$3),J708,D708)</f>
        <v>0</v>
      </c>
      <c r="P708" s="155">
        <f>+IF(OR($Q708=Parametres!$G$2,$Q708=Parametres!$G$3),K708,E708)</f>
        <v>0</v>
      </c>
      <c r="Q708" s="154">
        <f t="shared" si="57"/>
        <v>0</v>
      </c>
      <c r="R708" s="153">
        <f t="shared" si="58"/>
        <v>0</v>
      </c>
      <c r="S708" s="154">
        <f t="shared" si="59"/>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hidden="1" customHeight="1">
      <c r="A709" s="157"/>
      <c r="B709" s="158"/>
      <c r="C709" s="159"/>
      <c r="D709" s="157"/>
      <c r="E709" s="157"/>
      <c r="F709" s="157"/>
      <c r="G709" s="157"/>
      <c r="H709" s="157"/>
      <c r="I709" s="157"/>
      <c r="J709" s="157"/>
      <c r="K709" s="157"/>
      <c r="L709" s="153">
        <f t="shared" si="55"/>
        <v>0</v>
      </c>
      <c r="M709" s="154">
        <f t="shared" si="56"/>
        <v>0</v>
      </c>
      <c r="N709" s="155">
        <f>+IF(OR($Q709=Parametres!$G$2,$Q709=Parametres!$G$3),I709,C709)</f>
        <v>0</v>
      </c>
      <c r="O709" s="1122">
        <f>+IF(OR($Q709=Parametres!$G$2,$Q709=Parametres!$G$3),J709,D709)</f>
        <v>0</v>
      </c>
      <c r="P709" s="155">
        <f>+IF(OR($Q709=Parametres!$G$2,$Q709=Parametres!$G$3),K709,E709)</f>
        <v>0</v>
      </c>
      <c r="Q709" s="154">
        <f t="shared" si="57"/>
        <v>0</v>
      </c>
      <c r="R709" s="153">
        <f t="shared" si="58"/>
        <v>0</v>
      </c>
      <c r="S709" s="154">
        <f t="shared" si="59"/>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hidden="1" customHeight="1">
      <c r="A710" s="157"/>
      <c r="B710" s="158"/>
      <c r="C710" s="159"/>
      <c r="D710" s="157"/>
      <c r="E710" s="157"/>
      <c r="F710" s="157"/>
      <c r="G710" s="157"/>
      <c r="H710" s="157"/>
      <c r="I710" s="157"/>
      <c r="J710" s="157"/>
      <c r="K710" s="157"/>
      <c r="L710" s="153">
        <f t="shared" si="55"/>
        <v>0</v>
      </c>
      <c r="M710" s="154">
        <f t="shared" si="56"/>
        <v>0</v>
      </c>
      <c r="N710" s="155">
        <f>+IF(OR($Q710=Parametres!$G$2,$Q710=Parametres!$G$3),I710,C710)</f>
        <v>0</v>
      </c>
      <c r="O710" s="1122">
        <f>+IF(OR($Q710=Parametres!$G$2,$Q710=Parametres!$G$3),J710,D710)</f>
        <v>0</v>
      </c>
      <c r="P710" s="155">
        <f>+IF(OR($Q710=Parametres!$G$2,$Q710=Parametres!$G$3),K710,E710)</f>
        <v>0</v>
      </c>
      <c r="Q710" s="154">
        <f t="shared" si="57"/>
        <v>0</v>
      </c>
      <c r="R710" s="153">
        <f t="shared" si="58"/>
        <v>0</v>
      </c>
      <c r="S710" s="154">
        <f t="shared" si="59"/>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hidden="1" customHeight="1">
      <c r="A711" s="157"/>
      <c r="B711" s="158"/>
      <c r="C711" s="159"/>
      <c r="D711" s="157"/>
      <c r="E711" s="157"/>
      <c r="F711" s="157"/>
      <c r="G711" s="157"/>
      <c r="H711" s="157"/>
      <c r="I711" s="157"/>
      <c r="J711" s="157"/>
      <c r="K711" s="157"/>
      <c r="L711" s="153">
        <f t="shared" si="55"/>
        <v>0</v>
      </c>
      <c r="M711" s="154">
        <f t="shared" si="56"/>
        <v>0</v>
      </c>
      <c r="N711" s="155">
        <f>+IF(OR($Q711=Parametres!$G$2,$Q711=Parametres!$G$3),I711,C711)</f>
        <v>0</v>
      </c>
      <c r="O711" s="1122">
        <f>+IF(OR($Q711=Parametres!$G$2,$Q711=Parametres!$G$3),J711,D711)</f>
        <v>0</v>
      </c>
      <c r="P711" s="155">
        <f>+IF(OR($Q711=Parametres!$G$2,$Q711=Parametres!$G$3),K711,E711)</f>
        <v>0</v>
      </c>
      <c r="Q711" s="154">
        <f t="shared" si="57"/>
        <v>0</v>
      </c>
      <c r="R711" s="153">
        <f t="shared" si="58"/>
        <v>0</v>
      </c>
      <c r="S711" s="154">
        <f t="shared" si="59"/>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hidden="1" customHeight="1">
      <c r="A712" s="157"/>
      <c r="B712" s="158"/>
      <c r="C712" s="159"/>
      <c r="D712" s="157"/>
      <c r="E712" s="157"/>
      <c r="F712" s="157"/>
      <c r="G712" s="157"/>
      <c r="H712" s="157"/>
      <c r="I712" s="157"/>
      <c r="J712" s="157"/>
      <c r="K712" s="157"/>
      <c r="L712" s="153">
        <f t="shared" si="55"/>
        <v>0</v>
      </c>
      <c r="M712" s="154">
        <f t="shared" si="56"/>
        <v>0</v>
      </c>
      <c r="N712" s="155">
        <f>+IF(OR($Q712=Parametres!$G$2,$Q712=Parametres!$G$3),I712,C712)</f>
        <v>0</v>
      </c>
      <c r="O712" s="1122">
        <f>+IF(OR($Q712=Parametres!$G$2,$Q712=Parametres!$G$3),J712,D712)</f>
        <v>0</v>
      </c>
      <c r="P712" s="155">
        <f>+IF(OR($Q712=Parametres!$G$2,$Q712=Parametres!$G$3),K712,E712)</f>
        <v>0</v>
      </c>
      <c r="Q712" s="154">
        <f t="shared" si="57"/>
        <v>0</v>
      </c>
      <c r="R712" s="153">
        <f t="shared" si="58"/>
        <v>0</v>
      </c>
      <c r="S712" s="154">
        <f t="shared" si="59"/>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hidden="1" customHeight="1">
      <c r="A713" s="157"/>
      <c r="B713" s="158"/>
      <c r="C713" s="159"/>
      <c r="D713" s="157"/>
      <c r="E713" s="157"/>
      <c r="F713" s="157"/>
      <c r="G713" s="157"/>
      <c r="H713" s="157"/>
      <c r="I713" s="157"/>
      <c r="J713" s="157"/>
      <c r="K713" s="157"/>
      <c r="L713" s="153">
        <f t="shared" si="55"/>
        <v>0</v>
      </c>
      <c r="M713" s="154">
        <f t="shared" si="56"/>
        <v>0</v>
      </c>
      <c r="N713" s="155">
        <f>+IF(OR($Q713=Parametres!$G$2,$Q713=Parametres!$G$3),I713,C713)</f>
        <v>0</v>
      </c>
      <c r="O713" s="1122">
        <f>+IF(OR($Q713=Parametres!$G$2,$Q713=Parametres!$G$3),J713,D713)</f>
        <v>0</v>
      </c>
      <c r="P713" s="155">
        <f>+IF(OR($Q713=Parametres!$G$2,$Q713=Parametres!$G$3),K713,E713)</f>
        <v>0</v>
      </c>
      <c r="Q713" s="154">
        <f t="shared" si="57"/>
        <v>0</v>
      </c>
      <c r="R713" s="153">
        <f t="shared" si="58"/>
        <v>0</v>
      </c>
      <c r="S713" s="154">
        <f t="shared" si="59"/>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hidden="1" customHeight="1">
      <c r="A714" s="157"/>
      <c r="B714" s="158"/>
      <c r="C714" s="159"/>
      <c r="D714" s="157"/>
      <c r="E714" s="157"/>
      <c r="F714" s="157"/>
      <c r="G714" s="157"/>
      <c r="H714" s="157"/>
      <c r="I714" s="157"/>
      <c r="J714" s="157"/>
      <c r="K714" s="157"/>
      <c r="L714" s="153">
        <f t="shared" si="55"/>
        <v>0</v>
      </c>
      <c r="M714" s="154">
        <f t="shared" si="56"/>
        <v>0</v>
      </c>
      <c r="N714" s="155">
        <f>+IF(OR($Q714=Parametres!$G$2,$Q714=Parametres!$G$3),I714,C714)</f>
        <v>0</v>
      </c>
      <c r="O714" s="1122">
        <f>+IF(OR($Q714=Parametres!$G$2,$Q714=Parametres!$G$3),J714,D714)</f>
        <v>0</v>
      </c>
      <c r="P714" s="155">
        <f>+IF(OR($Q714=Parametres!$G$2,$Q714=Parametres!$G$3),K714,E714)</f>
        <v>0</v>
      </c>
      <c r="Q714" s="154">
        <f t="shared" si="57"/>
        <v>0</v>
      </c>
      <c r="R714" s="153">
        <f t="shared" si="58"/>
        <v>0</v>
      </c>
      <c r="S714" s="154">
        <f t="shared" si="59"/>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hidden="1" customHeight="1">
      <c r="A715" s="157"/>
      <c r="B715" s="158"/>
      <c r="C715" s="159"/>
      <c r="D715" s="157"/>
      <c r="E715" s="157"/>
      <c r="F715" s="157"/>
      <c r="G715" s="157"/>
      <c r="H715" s="157"/>
      <c r="I715" s="157"/>
      <c r="J715" s="157"/>
      <c r="K715" s="157"/>
      <c r="L715" s="153">
        <f t="shared" si="55"/>
        <v>0</v>
      </c>
      <c r="M715" s="154">
        <f t="shared" si="56"/>
        <v>0</v>
      </c>
      <c r="N715" s="155">
        <f>+IF(OR($Q715=Parametres!$G$2,$Q715=Parametres!$G$3),I715,C715)</f>
        <v>0</v>
      </c>
      <c r="O715" s="1122">
        <f>+IF(OR($Q715=Parametres!$G$2,$Q715=Parametres!$G$3),J715,D715)</f>
        <v>0</v>
      </c>
      <c r="P715" s="155">
        <f>+IF(OR($Q715=Parametres!$G$2,$Q715=Parametres!$G$3),K715,E715)</f>
        <v>0</v>
      </c>
      <c r="Q715" s="154">
        <f t="shared" si="57"/>
        <v>0</v>
      </c>
      <c r="R715" s="153">
        <f t="shared" si="58"/>
        <v>0</v>
      </c>
      <c r="S715" s="154">
        <f t="shared" si="59"/>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hidden="1" customHeight="1">
      <c r="A716" s="157"/>
      <c r="B716" s="158"/>
      <c r="C716" s="159"/>
      <c r="D716" s="157"/>
      <c r="E716" s="157"/>
      <c r="F716" s="157"/>
      <c r="G716" s="157"/>
      <c r="H716" s="157"/>
      <c r="I716" s="157"/>
      <c r="J716" s="157"/>
      <c r="K716" s="157"/>
      <c r="L716" s="153">
        <f t="shared" si="55"/>
        <v>0</v>
      </c>
      <c r="M716" s="154">
        <f t="shared" si="56"/>
        <v>0</v>
      </c>
      <c r="N716" s="155">
        <f>+IF(OR($Q716=Parametres!$G$2,$Q716=Parametres!$G$3),I716,C716)</f>
        <v>0</v>
      </c>
      <c r="O716" s="1122">
        <f>+IF(OR($Q716=Parametres!$G$2,$Q716=Parametres!$G$3),J716,D716)</f>
        <v>0</v>
      </c>
      <c r="P716" s="155">
        <f>+IF(OR($Q716=Parametres!$G$2,$Q716=Parametres!$G$3),K716,E716)</f>
        <v>0</v>
      </c>
      <c r="Q716" s="154">
        <f t="shared" si="57"/>
        <v>0</v>
      </c>
      <c r="R716" s="153">
        <f t="shared" si="58"/>
        <v>0</v>
      </c>
      <c r="S716" s="154">
        <f t="shared" si="59"/>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hidden="1" customHeight="1">
      <c r="A717" s="157"/>
      <c r="B717" s="158"/>
      <c r="C717" s="159"/>
      <c r="D717" s="157"/>
      <c r="E717" s="157"/>
      <c r="F717" s="157"/>
      <c r="G717" s="157"/>
      <c r="H717" s="157"/>
      <c r="I717" s="157"/>
      <c r="J717" s="157"/>
      <c r="K717" s="157"/>
      <c r="L717" s="153">
        <f t="shared" si="55"/>
        <v>0</v>
      </c>
      <c r="M717" s="154">
        <f t="shared" si="56"/>
        <v>0</v>
      </c>
      <c r="N717" s="155">
        <f>+IF(OR($Q717=Parametres!$G$2,$Q717=Parametres!$G$3),I717,C717)</f>
        <v>0</v>
      </c>
      <c r="O717" s="1122">
        <f>+IF(OR($Q717=Parametres!$G$2,$Q717=Parametres!$G$3),J717,D717)</f>
        <v>0</v>
      </c>
      <c r="P717" s="155">
        <f>+IF(OR($Q717=Parametres!$G$2,$Q717=Parametres!$G$3),K717,E717)</f>
        <v>0</v>
      </c>
      <c r="Q717" s="154">
        <f t="shared" si="57"/>
        <v>0</v>
      </c>
      <c r="R717" s="153">
        <f t="shared" si="58"/>
        <v>0</v>
      </c>
      <c r="S717" s="154">
        <f t="shared" si="59"/>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hidden="1" customHeight="1">
      <c r="A718" s="157"/>
      <c r="B718" s="158"/>
      <c r="C718" s="159"/>
      <c r="D718" s="157"/>
      <c r="E718" s="157"/>
      <c r="F718" s="157"/>
      <c r="G718" s="157"/>
      <c r="H718" s="157"/>
      <c r="I718" s="157"/>
      <c r="J718" s="157"/>
      <c r="K718" s="157"/>
      <c r="L718" s="153">
        <f t="shared" si="55"/>
        <v>0</v>
      </c>
      <c r="M718" s="154">
        <f t="shared" si="56"/>
        <v>0</v>
      </c>
      <c r="N718" s="155">
        <f>+IF(OR($Q718=Parametres!$G$2,$Q718=Parametres!$G$3),I718,C718)</f>
        <v>0</v>
      </c>
      <c r="O718" s="1122">
        <f>+IF(OR($Q718=Parametres!$G$2,$Q718=Parametres!$G$3),J718,D718)</f>
        <v>0</v>
      </c>
      <c r="P718" s="155">
        <f>+IF(OR($Q718=Parametres!$G$2,$Q718=Parametres!$G$3),K718,E718)</f>
        <v>0</v>
      </c>
      <c r="Q718" s="154">
        <f t="shared" si="57"/>
        <v>0</v>
      </c>
      <c r="R718" s="153">
        <f t="shared" si="58"/>
        <v>0</v>
      </c>
      <c r="S718" s="154">
        <f t="shared" si="59"/>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hidden="1" customHeight="1">
      <c r="A719" s="157"/>
      <c r="B719" s="158"/>
      <c r="C719" s="159"/>
      <c r="D719" s="157"/>
      <c r="E719" s="157"/>
      <c r="F719" s="157"/>
      <c r="G719" s="157"/>
      <c r="H719" s="157"/>
      <c r="I719" s="157"/>
      <c r="J719" s="157"/>
      <c r="K719" s="157"/>
      <c r="L719" s="153">
        <f t="shared" si="55"/>
        <v>0</v>
      </c>
      <c r="M719" s="154">
        <f t="shared" si="56"/>
        <v>0</v>
      </c>
      <c r="N719" s="155">
        <f>+IF(OR($Q719=Parametres!$G$2,$Q719=Parametres!$G$3),I719,C719)</f>
        <v>0</v>
      </c>
      <c r="O719" s="1122">
        <f>+IF(OR($Q719=Parametres!$G$2,$Q719=Parametres!$G$3),J719,D719)</f>
        <v>0</v>
      </c>
      <c r="P719" s="155">
        <f>+IF(OR($Q719=Parametres!$G$2,$Q719=Parametres!$G$3),K719,E719)</f>
        <v>0</v>
      </c>
      <c r="Q719" s="154">
        <f t="shared" si="57"/>
        <v>0</v>
      </c>
      <c r="R719" s="153">
        <f t="shared" si="58"/>
        <v>0</v>
      </c>
      <c r="S719" s="154">
        <f t="shared" si="59"/>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hidden="1" customHeight="1">
      <c r="A720" s="157"/>
      <c r="B720" s="158"/>
      <c r="C720" s="159"/>
      <c r="D720" s="157"/>
      <c r="E720" s="157"/>
      <c r="F720" s="157"/>
      <c r="G720" s="157"/>
      <c r="H720" s="157"/>
      <c r="I720" s="157"/>
      <c r="J720" s="157"/>
      <c r="K720" s="157"/>
      <c r="L720" s="153">
        <f t="shared" si="55"/>
        <v>0</v>
      </c>
      <c r="M720" s="154">
        <f t="shared" si="56"/>
        <v>0</v>
      </c>
      <c r="N720" s="155">
        <f>+IF(OR($Q720=Parametres!$G$2,$Q720=Parametres!$G$3),I720,C720)</f>
        <v>0</v>
      </c>
      <c r="O720" s="1122">
        <f>+IF(OR($Q720=Parametres!$G$2,$Q720=Parametres!$G$3),J720,D720)</f>
        <v>0</v>
      </c>
      <c r="P720" s="155">
        <f>+IF(OR($Q720=Parametres!$G$2,$Q720=Parametres!$G$3),K720,E720)</f>
        <v>0</v>
      </c>
      <c r="Q720" s="154">
        <f t="shared" si="57"/>
        <v>0</v>
      </c>
      <c r="R720" s="153">
        <f t="shared" si="58"/>
        <v>0</v>
      </c>
      <c r="S720" s="154">
        <f t="shared" si="59"/>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hidden="1" customHeight="1">
      <c r="A721" s="157"/>
      <c r="B721" s="158"/>
      <c r="C721" s="159"/>
      <c r="D721" s="157"/>
      <c r="E721" s="157"/>
      <c r="F721" s="157"/>
      <c r="G721" s="157"/>
      <c r="H721" s="157"/>
      <c r="I721" s="157"/>
      <c r="J721" s="157"/>
      <c r="K721" s="157"/>
      <c r="L721" s="153">
        <f t="shared" si="55"/>
        <v>0</v>
      </c>
      <c r="M721" s="154">
        <f t="shared" si="56"/>
        <v>0</v>
      </c>
      <c r="N721" s="155">
        <f>+IF(OR($Q721=Parametres!$G$2,$Q721=Parametres!$G$3),I721,C721)</f>
        <v>0</v>
      </c>
      <c r="O721" s="1122">
        <f>+IF(OR($Q721=Parametres!$G$2,$Q721=Parametres!$G$3),J721,D721)</f>
        <v>0</v>
      </c>
      <c r="P721" s="155">
        <f>+IF(OR($Q721=Parametres!$G$2,$Q721=Parametres!$G$3),K721,E721)</f>
        <v>0</v>
      </c>
      <c r="Q721" s="154">
        <f t="shared" si="57"/>
        <v>0</v>
      </c>
      <c r="R721" s="153">
        <f t="shared" si="58"/>
        <v>0</v>
      </c>
      <c r="S721" s="154">
        <f t="shared" si="59"/>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hidden="1" customHeight="1">
      <c r="A722" s="157"/>
      <c r="B722" s="158"/>
      <c r="C722" s="159"/>
      <c r="D722" s="157"/>
      <c r="E722" s="157"/>
      <c r="F722" s="157"/>
      <c r="G722" s="157"/>
      <c r="H722" s="157"/>
      <c r="I722" s="157"/>
      <c r="J722" s="157"/>
      <c r="K722" s="157"/>
      <c r="L722" s="153">
        <f t="shared" si="55"/>
        <v>0</v>
      </c>
      <c r="M722" s="154">
        <f t="shared" si="56"/>
        <v>0</v>
      </c>
      <c r="N722" s="155">
        <f>+IF(OR($Q722=Parametres!$G$2,$Q722=Parametres!$G$3),I722,C722)</f>
        <v>0</v>
      </c>
      <c r="O722" s="1122">
        <f>+IF(OR($Q722=Parametres!$G$2,$Q722=Parametres!$G$3),J722,D722)</f>
        <v>0</v>
      </c>
      <c r="P722" s="155">
        <f>+IF(OR($Q722=Parametres!$G$2,$Q722=Parametres!$G$3),K722,E722)</f>
        <v>0</v>
      </c>
      <c r="Q722" s="154">
        <f t="shared" si="57"/>
        <v>0</v>
      </c>
      <c r="R722" s="153">
        <f t="shared" si="58"/>
        <v>0</v>
      </c>
      <c r="S722" s="154">
        <f t="shared" si="59"/>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hidden="1" customHeight="1">
      <c r="A723" s="157"/>
      <c r="B723" s="158"/>
      <c r="C723" s="159"/>
      <c r="D723" s="157"/>
      <c r="E723" s="157"/>
      <c r="F723" s="157"/>
      <c r="G723" s="157"/>
      <c r="H723" s="157"/>
      <c r="I723" s="157"/>
      <c r="J723" s="157"/>
      <c r="K723" s="157"/>
      <c r="L723" s="153">
        <f t="shared" si="55"/>
        <v>0</v>
      </c>
      <c r="M723" s="154">
        <f t="shared" si="56"/>
        <v>0</v>
      </c>
      <c r="N723" s="155">
        <f>+IF(OR($Q723=Parametres!$G$2,$Q723=Parametres!$G$3),I723,C723)</f>
        <v>0</v>
      </c>
      <c r="O723" s="1122">
        <f>+IF(OR($Q723=Parametres!$G$2,$Q723=Parametres!$G$3),J723,D723)</f>
        <v>0</v>
      </c>
      <c r="P723" s="155">
        <f>+IF(OR($Q723=Parametres!$G$2,$Q723=Parametres!$G$3),K723,E723)</f>
        <v>0</v>
      </c>
      <c r="Q723" s="154">
        <f t="shared" si="57"/>
        <v>0</v>
      </c>
      <c r="R723" s="153">
        <f t="shared" si="58"/>
        <v>0</v>
      </c>
      <c r="S723" s="154">
        <f t="shared" si="59"/>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hidden="1" customHeight="1">
      <c r="A724" s="157"/>
      <c r="B724" s="158"/>
      <c r="C724" s="159"/>
      <c r="D724" s="157"/>
      <c r="E724" s="157"/>
      <c r="F724" s="157"/>
      <c r="G724" s="157"/>
      <c r="H724" s="157"/>
      <c r="I724" s="157"/>
      <c r="J724" s="157"/>
      <c r="K724" s="157"/>
      <c r="L724" s="153">
        <f t="shared" si="55"/>
        <v>0</v>
      </c>
      <c r="M724" s="154">
        <f t="shared" si="56"/>
        <v>0</v>
      </c>
      <c r="N724" s="155">
        <f>+IF(OR($Q724=Parametres!$G$2,$Q724=Parametres!$G$3),I724,C724)</f>
        <v>0</v>
      </c>
      <c r="O724" s="1122">
        <f>+IF(OR($Q724=Parametres!$G$2,$Q724=Parametres!$G$3),J724,D724)</f>
        <v>0</v>
      </c>
      <c r="P724" s="155">
        <f>+IF(OR($Q724=Parametres!$G$2,$Q724=Parametres!$G$3),K724,E724)</f>
        <v>0</v>
      </c>
      <c r="Q724" s="154">
        <f t="shared" si="57"/>
        <v>0</v>
      </c>
      <c r="R724" s="153">
        <f t="shared" si="58"/>
        <v>0</v>
      </c>
      <c r="S724" s="154">
        <f t="shared" si="59"/>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hidden="1" customHeight="1">
      <c r="A725" s="157"/>
      <c r="B725" s="158"/>
      <c r="C725" s="159"/>
      <c r="D725" s="157"/>
      <c r="E725" s="157"/>
      <c r="F725" s="157"/>
      <c r="G725" s="157"/>
      <c r="H725" s="157"/>
      <c r="I725" s="157"/>
      <c r="J725" s="157"/>
      <c r="K725" s="157"/>
      <c r="L725" s="153">
        <f t="shared" si="55"/>
        <v>0</v>
      </c>
      <c r="M725" s="154">
        <f t="shared" si="56"/>
        <v>0</v>
      </c>
      <c r="N725" s="155">
        <f>+IF(OR($Q725=Parametres!$G$2,$Q725=Parametres!$G$3),I725,C725)</f>
        <v>0</v>
      </c>
      <c r="O725" s="1122">
        <f>+IF(OR($Q725=Parametres!$G$2,$Q725=Parametres!$G$3),J725,D725)</f>
        <v>0</v>
      </c>
      <c r="P725" s="155">
        <f>+IF(OR($Q725=Parametres!$G$2,$Q725=Parametres!$G$3),K725,E725)</f>
        <v>0</v>
      </c>
      <c r="Q725" s="154">
        <f t="shared" si="57"/>
        <v>0</v>
      </c>
      <c r="R725" s="153">
        <f t="shared" si="58"/>
        <v>0</v>
      </c>
      <c r="S725" s="154">
        <f t="shared" si="59"/>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hidden="1" customHeight="1">
      <c r="A726" s="157"/>
      <c r="B726" s="158"/>
      <c r="C726" s="159"/>
      <c r="D726" s="157"/>
      <c r="E726" s="157"/>
      <c r="F726" s="157"/>
      <c r="G726" s="157"/>
      <c r="H726" s="157"/>
      <c r="I726" s="157"/>
      <c r="J726" s="157"/>
      <c r="K726" s="157"/>
      <c r="L726" s="153">
        <f t="shared" si="55"/>
        <v>0</v>
      </c>
      <c r="M726" s="154">
        <f t="shared" si="56"/>
        <v>0</v>
      </c>
      <c r="N726" s="155">
        <f>+IF(OR($Q726=Parametres!$G$2,$Q726=Parametres!$G$3),I726,C726)</f>
        <v>0</v>
      </c>
      <c r="O726" s="1122">
        <f>+IF(OR($Q726=Parametres!$G$2,$Q726=Parametres!$G$3),J726,D726)</f>
        <v>0</v>
      </c>
      <c r="P726" s="155">
        <f>+IF(OR($Q726=Parametres!$G$2,$Q726=Parametres!$G$3),K726,E726)</f>
        <v>0</v>
      </c>
      <c r="Q726" s="154">
        <f t="shared" si="57"/>
        <v>0</v>
      </c>
      <c r="R726" s="153">
        <f t="shared" si="58"/>
        <v>0</v>
      </c>
      <c r="S726" s="154">
        <f t="shared" si="59"/>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hidden="1" customHeight="1">
      <c r="A727" s="157"/>
      <c r="B727" s="158"/>
      <c r="C727" s="159"/>
      <c r="D727" s="157"/>
      <c r="E727" s="157"/>
      <c r="F727" s="157"/>
      <c r="G727" s="157"/>
      <c r="H727" s="157"/>
      <c r="I727" s="157"/>
      <c r="J727" s="157"/>
      <c r="K727" s="157"/>
      <c r="L727" s="153">
        <f t="shared" si="55"/>
        <v>0</v>
      </c>
      <c r="M727" s="154">
        <f t="shared" si="56"/>
        <v>0</v>
      </c>
      <c r="N727" s="155">
        <f>+IF(OR($Q727=Parametres!$G$2,$Q727=Parametres!$G$3),I727,C727)</f>
        <v>0</v>
      </c>
      <c r="O727" s="1122">
        <f>+IF(OR($Q727=Parametres!$G$2,$Q727=Parametres!$G$3),J727,D727)</f>
        <v>0</v>
      </c>
      <c r="P727" s="155">
        <f>+IF(OR($Q727=Parametres!$G$2,$Q727=Parametres!$G$3),K727,E727)</f>
        <v>0</v>
      </c>
      <c r="Q727" s="154">
        <f t="shared" si="57"/>
        <v>0</v>
      </c>
      <c r="R727" s="153">
        <f t="shared" si="58"/>
        <v>0</v>
      </c>
      <c r="S727" s="154">
        <f t="shared" si="59"/>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hidden="1" customHeight="1">
      <c r="A728" s="157"/>
      <c r="B728" s="158"/>
      <c r="C728" s="159"/>
      <c r="D728" s="157"/>
      <c r="E728" s="157"/>
      <c r="F728" s="157"/>
      <c r="G728" s="157"/>
      <c r="H728" s="157"/>
      <c r="I728" s="157"/>
      <c r="J728" s="157"/>
      <c r="K728" s="157"/>
      <c r="L728" s="153">
        <f t="shared" si="55"/>
        <v>0</v>
      </c>
      <c r="M728" s="154">
        <f t="shared" si="56"/>
        <v>0</v>
      </c>
      <c r="N728" s="155">
        <f>+IF(OR($Q728=Parametres!$G$2,$Q728=Parametres!$G$3),I728,C728)</f>
        <v>0</v>
      </c>
      <c r="O728" s="1122">
        <f>+IF(OR($Q728=Parametres!$G$2,$Q728=Parametres!$G$3),J728,D728)</f>
        <v>0</v>
      </c>
      <c r="P728" s="155">
        <f>+IF(OR($Q728=Parametres!$G$2,$Q728=Parametres!$G$3),K728,E728)</f>
        <v>0</v>
      </c>
      <c r="Q728" s="154">
        <f t="shared" si="57"/>
        <v>0</v>
      </c>
      <c r="R728" s="153">
        <f t="shared" si="58"/>
        <v>0</v>
      </c>
      <c r="S728" s="154">
        <f t="shared" si="59"/>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hidden="1" customHeight="1">
      <c r="A729" s="157"/>
      <c r="B729" s="158"/>
      <c r="C729" s="159"/>
      <c r="D729" s="157"/>
      <c r="E729" s="157"/>
      <c r="F729" s="157"/>
      <c r="G729" s="157"/>
      <c r="H729" s="157"/>
      <c r="I729" s="157"/>
      <c r="J729" s="157"/>
      <c r="K729" s="157"/>
      <c r="L729" s="153">
        <f t="shared" si="55"/>
        <v>0</v>
      </c>
      <c r="M729" s="154">
        <f t="shared" si="56"/>
        <v>0</v>
      </c>
      <c r="N729" s="155">
        <f>+IF(OR($Q729=Parametres!$G$2,$Q729=Parametres!$G$3),I729,C729)</f>
        <v>0</v>
      </c>
      <c r="O729" s="1122">
        <f>+IF(OR($Q729=Parametres!$G$2,$Q729=Parametres!$G$3),J729,D729)</f>
        <v>0</v>
      </c>
      <c r="P729" s="155">
        <f>+IF(OR($Q729=Parametres!$G$2,$Q729=Parametres!$G$3),K729,E729)</f>
        <v>0</v>
      </c>
      <c r="Q729" s="154">
        <f t="shared" si="57"/>
        <v>0</v>
      </c>
      <c r="R729" s="153">
        <f t="shared" si="58"/>
        <v>0</v>
      </c>
      <c r="S729" s="154">
        <f t="shared" si="59"/>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hidden="1" customHeight="1">
      <c r="A730" s="157"/>
      <c r="B730" s="158"/>
      <c r="C730" s="159"/>
      <c r="D730" s="157"/>
      <c r="E730" s="157"/>
      <c r="F730" s="157"/>
      <c r="G730" s="157"/>
      <c r="H730" s="157"/>
      <c r="I730" s="157"/>
      <c r="J730" s="157"/>
      <c r="K730" s="157"/>
      <c r="L730" s="153">
        <f t="shared" si="55"/>
        <v>0</v>
      </c>
      <c r="M730" s="154">
        <f t="shared" si="56"/>
        <v>0</v>
      </c>
      <c r="N730" s="155">
        <f>+IF(OR($Q730=Parametres!$G$2,$Q730=Parametres!$G$3),I730,C730)</f>
        <v>0</v>
      </c>
      <c r="O730" s="1122">
        <f>+IF(OR($Q730=Parametres!$G$2,$Q730=Parametres!$G$3),J730,D730)</f>
        <v>0</v>
      </c>
      <c r="P730" s="155">
        <f>+IF(OR($Q730=Parametres!$G$2,$Q730=Parametres!$G$3),K730,E730)</f>
        <v>0</v>
      </c>
      <c r="Q730" s="154">
        <f t="shared" si="57"/>
        <v>0</v>
      </c>
      <c r="R730" s="153">
        <f t="shared" si="58"/>
        <v>0</v>
      </c>
      <c r="S730" s="154">
        <f t="shared" si="59"/>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hidden="1" customHeight="1">
      <c r="A731" s="157"/>
      <c r="B731" s="158"/>
      <c r="C731" s="159"/>
      <c r="D731" s="157"/>
      <c r="E731" s="157"/>
      <c r="F731" s="157"/>
      <c r="G731" s="157"/>
      <c r="H731" s="157"/>
      <c r="I731" s="157"/>
      <c r="J731" s="157"/>
      <c r="K731" s="157"/>
      <c r="L731" s="153">
        <f t="shared" si="55"/>
        <v>0</v>
      </c>
      <c r="M731" s="154">
        <f t="shared" si="56"/>
        <v>0</v>
      </c>
      <c r="N731" s="155">
        <f>+IF(OR($Q731=Parametres!$G$2,$Q731=Parametres!$G$3),I731,C731)</f>
        <v>0</v>
      </c>
      <c r="O731" s="1122">
        <f>+IF(OR($Q731=Parametres!$G$2,$Q731=Parametres!$G$3),J731,D731)</f>
        <v>0</v>
      </c>
      <c r="P731" s="155">
        <f>+IF(OR($Q731=Parametres!$G$2,$Q731=Parametres!$G$3),K731,E731)</f>
        <v>0</v>
      </c>
      <c r="Q731" s="154">
        <f t="shared" si="57"/>
        <v>0</v>
      </c>
      <c r="R731" s="153">
        <f t="shared" si="58"/>
        <v>0</v>
      </c>
      <c r="S731" s="154">
        <f t="shared" si="59"/>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hidden="1" customHeight="1">
      <c r="A732" s="157"/>
      <c r="B732" s="158"/>
      <c r="C732" s="159"/>
      <c r="D732" s="157"/>
      <c r="E732" s="157"/>
      <c r="F732" s="157"/>
      <c r="G732" s="157"/>
      <c r="H732" s="157"/>
      <c r="I732" s="157"/>
      <c r="J732" s="157"/>
      <c r="K732" s="157"/>
      <c r="L732" s="153">
        <f t="shared" si="55"/>
        <v>0</v>
      </c>
      <c r="M732" s="154">
        <f t="shared" si="56"/>
        <v>0</v>
      </c>
      <c r="N732" s="155">
        <f>+IF(OR($Q732=Parametres!$G$2,$Q732=Parametres!$G$3),I732,C732)</f>
        <v>0</v>
      </c>
      <c r="O732" s="1122">
        <f>+IF(OR($Q732=Parametres!$G$2,$Q732=Parametres!$G$3),J732,D732)</f>
        <v>0</v>
      </c>
      <c r="P732" s="155">
        <f>+IF(OR($Q732=Parametres!$G$2,$Q732=Parametres!$G$3),K732,E732)</f>
        <v>0</v>
      </c>
      <c r="Q732" s="154">
        <f t="shared" si="57"/>
        <v>0</v>
      </c>
      <c r="R732" s="153">
        <f t="shared" si="58"/>
        <v>0</v>
      </c>
      <c r="S732" s="154">
        <f t="shared" si="59"/>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hidden="1" customHeight="1">
      <c r="A733" s="157"/>
      <c r="B733" s="158"/>
      <c r="C733" s="159"/>
      <c r="D733" s="157"/>
      <c r="E733" s="157"/>
      <c r="F733" s="157"/>
      <c r="G733" s="157"/>
      <c r="H733" s="157"/>
      <c r="I733" s="157"/>
      <c r="J733" s="157"/>
      <c r="K733" s="157"/>
      <c r="L733" s="153">
        <f t="shared" si="55"/>
        <v>0</v>
      </c>
      <c r="M733" s="154">
        <f t="shared" si="56"/>
        <v>0</v>
      </c>
      <c r="N733" s="155">
        <f>+IF(OR($Q733=Parametres!$G$2,$Q733=Parametres!$G$3),I733,C733)</f>
        <v>0</v>
      </c>
      <c r="O733" s="1122">
        <f>+IF(OR($Q733=Parametres!$G$2,$Q733=Parametres!$G$3),J733,D733)</f>
        <v>0</v>
      </c>
      <c r="P733" s="155">
        <f>+IF(OR($Q733=Parametres!$G$2,$Q733=Parametres!$G$3),K733,E733)</f>
        <v>0</v>
      </c>
      <c r="Q733" s="154">
        <f t="shared" si="57"/>
        <v>0</v>
      </c>
      <c r="R733" s="153">
        <f t="shared" si="58"/>
        <v>0</v>
      </c>
      <c r="S733" s="154">
        <f t="shared" si="59"/>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hidden="1" customHeight="1">
      <c r="A734" s="157"/>
      <c r="B734" s="158"/>
      <c r="C734" s="159"/>
      <c r="D734" s="157"/>
      <c r="E734" s="157"/>
      <c r="F734" s="157"/>
      <c r="G734" s="157"/>
      <c r="H734" s="157"/>
      <c r="I734" s="157"/>
      <c r="J734" s="157"/>
      <c r="K734" s="157"/>
      <c r="L734" s="153">
        <f t="shared" si="55"/>
        <v>0</v>
      </c>
      <c r="M734" s="154">
        <f t="shared" si="56"/>
        <v>0</v>
      </c>
      <c r="N734" s="155">
        <f>+IF(OR($Q734=Parametres!$G$2,$Q734=Parametres!$G$3),I734,C734)</f>
        <v>0</v>
      </c>
      <c r="O734" s="1122">
        <f>+IF(OR($Q734=Parametres!$G$2,$Q734=Parametres!$G$3),J734,D734)</f>
        <v>0</v>
      </c>
      <c r="P734" s="155">
        <f>+IF(OR($Q734=Parametres!$G$2,$Q734=Parametres!$G$3),K734,E734)</f>
        <v>0</v>
      </c>
      <c r="Q734" s="154">
        <f t="shared" si="57"/>
        <v>0</v>
      </c>
      <c r="R734" s="153">
        <f t="shared" si="58"/>
        <v>0</v>
      </c>
      <c r="S734" s="154">
        <f t="shared" si="59"/>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hidden="1" customHeight="1">
      <c r="A735" s="157"/>
      <c r="B735" s="158"/>
      <c r="C735" s="159"/>
      <c r="D735" s="157"/>
      <c r="E735" s="157"/>
      <c r="F735" s="157"/>
      <c r="G735" s="157"/>
      <c r="H735" s="157"/>
      <c r="I735" s="157"/>
      <c r="J735" s="157"/>
      <c r="K735" s="157"/>
      <c r="L735" s="153">
        <f t="shared" si="55"/>
        <v>0</v>
      </c>
      <c r="M735" s="154">
        <f t="shared" si="56"/>
        <v>0</v>
      </c>
      <c r="N735" s="155">
        <f>+IF(OR($Q735=Parametres!$G$2,$Q735=Parametres!$G$3),I735,C735)</f>
        <v>0</v>
      </c>
      <c r="O735" s="1122">
        <f>+IF(OR($Q735=Parametres!$G$2,$Q735=Parametres!$G$3),J735,D735)</f>
        <v>0</v>
      </c>
      <c r="P735" s="155">
        <f>+IF(OR($Q735=Parametres!$G$2,$Q735=Parametres!$G$3),K735,E735)</f>
        <v>0</v>
      </c>
      <c r="Q735" s="154">
        <f t="shared" si="57"/>
        <v>0</v>
      </c>
      <c r="R735" s="153">
        <f t="shared" si="58"/>
        <v>0</v>
      </c>
      <c r="S735" s="154">
        <f t="shared" si="59"/>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hidden="1" customHeight="1">
      <c r="A736" s="157"/>
      <c r="B736" s="158"/>
      <c r="C736" s="159"/>
      <c r="D736" s="157"/>
      <c r="E736" s="157"/>
      <c r="F736" s="157"/>
      <c r="G736" s="157"/>
      <c r="H736" s="157"/>
      <c r="I736" s="157"/>
      <c r="J736" s="157"/>
      <c r="K736" s="157"/>
      <c r="L736" s="153">
        <f t="shared" si="55"/>
        <v>0</v>
      </c>
      <c r="M736" s="154">
        <f t="shared" si="56"/>
        <v>0</v>
      </c>
      <c r="N736" s="155">
        <f>+IF(OR($Q736=Parametres!$G$2,$Q736=Parametres!$G$3),I736,C736)</f>
        <v>0</v>
      </c>
      <c r="O736" s="1122">
        <f>+IF(OR($Q736=Parametres!$G$2,$Q736=Parametres!$G$3),J736,D736)</f>
        <v>0</v>
      </c>
      <c r="P736" s="155">
        <f>+IF(OR($Q736=Parametres!$G$2,$Q736=Parametres!$G$3),K736,E736)</f>
        <v>0</v>
      </c>
      <c r="Q736" s="154">
        <f t="shared" si="57"/>
        <v>0</v>
      </c>
      <c r="R736" s="153">
        <f t="shared" si="58"/>
        <v>0</v>
      </c>
      <c r="S736" s="154">
        <f t="shared" si="59"/>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hidden="1" customHeight="1">
      <c r="A737" s="157"/>
      <c r="B737" s="158"/>
      <c r="C737" s="159"/>
      <c r="D737" s="157"/>
      <c r="E737" s="157"/>
      <c r="F737" s="157"/>
      <c r="G737" s="157"/>
      <c r="H737" s="157"/>
      <c r="I737" s="157"/>
      <c r="J737" s="157"/>
      <c r="K737" s="157"/>
      <c r="L737" s="153">
        <f t="shared" si="55"/>
        <v>0</v>
      </c>
      <c r="M737" s="154">
        <f t="shared" si="56"/>
        <v>0</v>
      </c>
      <c r="N737" s="155">
        <f>+IF(OR($Q737=Parametres!$G$2,$Q737=Parametres!$G$3),I737,C737)</f>
        <v>0</v>
      </c>
      <c r="O737" s="1122">
        <f>+IF(OR($Q737=Parametres!$G$2,$Q737=Parametres!$G$3),J737,D737)</f>
        <v>0</v>
      </c>
      <c r="P737" s="155">
        <f>+IF(OR($Q737=Parametres!$G$2,$Q737=Parametres!$G$3),K737,E737)</f>
        <v>0</v>
      </c>
      <c r="Q737" s="154">
        <f t="shared" si="57"/>
        <v>0</v>
      </c>
      <c r="R737" s="153">
        <f t="shared" si="58"/>
        <v>0</v>
      </c>
      <c r="S737" s="154">
        <f t="shared" si="59"/>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hidden="1" customHeight="1">
      <c r="A738" s="157"/>
      <c r="B738" s="158"/>
      <c r="C738" s="159"/>
      <c r="D738" s="157"/>
      <c r="E738" s="157"/>
      <c r="F738" s="157"/>
      <c r="G738" s="157"/>
      <c r="H738" s="157"/>
      <c r="I738" s="157"/>
      <c r="J738" s="157"/>
      <c r="K738" s="157"/>
      <c r="L738" s="153">
        <f t="shared" si="55"/>
        <v>0</v>
      </c>
      <c r="M738" s="154">
        <f t="shared" si="56"/>
        <v>0</v>
      </c>
      <c r="N738" s="155">
        <f>+IF(OR($Q738=Parametres!$G$2,$Q738=Parametres!$G$3),I738,C738)</f>
        <v>0</v>
      </c>
      <c r="O738" s="1122">
        <f>+IF(OR($Q738=Parametres!$G$2,$Q738=Parametres!$G$3),J738,D738)</f>
        <v>0</v>
      </c>
      <c r="P738" s="155">
        <f>+IF(OR($Q738=Parametres!$G$2,$Q738=Parametres!$G$3),K738,E738)</f>
        <v>0</v>
      </c>
      <c r="Q738" s="154">
        <f t="shared" si="57"/>
        <v>0</v>
      </c>
      <c r="R738" s="153">
        <f t="shared" si="58"/>
        <v>0</v>
      </c>
      <c r="S738" s="154">
        <f t="shared" si="59"/>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hidden="1" customHeight="1">
      <c r="A739" s="157"/>
      <c r="B739" s="158"/>
      <c r="C739" s="159"/>
      <c r="D739" s="157"/>
      <c r="E739" s="157"/>
      <c r="F739" s="157"/>
      <c r="G739" s="157"/>
      <c r="H739" s="157"/>
      <c r="I739" s="157"/>
      <c r="J739" s="157"/>
      <c r="K739" s="157"/>
      <c r="L739" s="153">
        <f t="shared" si="55"/>
        <v>0</v>
      </c>
      <c r="M739" s="154">
        <f t="shared" si="56"/>
        <v>0</v>
      </c>
      <c r="N739" s="155">
        <f>+IF(OR($Q739=Parametres!$G$2,$Q739=Parametres!$G$3),I739,C739)</f>
        <v>0</v>
      </c>
      <c r="O739" s="1122">
        <f>+IF(OR($Q739=Parametres!$G$2,$Q739=Parametres!$G$3),J739,D739)</f>
        <v>0</v>
      </c>
      <c r="P739" s="155">
        <f>+IF(OR($Q739=Parametres!$G$2,$Q739=Parametres!$G$3),K739,E739)</f>
        <v>0</v>
      </c>
      <c r="Q739" s="154">
        <f t="shared" si="57"/>
        <v>0</v>
      </c>
      <c r="R739" s="153">
        <f t="shared" si="58"/>
        <v>0</v>
      </c>
      <c r="S739" s="154">
        <f t="shared" si="59"/>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hidden="1" customHeight="1">
      <c r="A740" s="157"/>
      <c r="B740" s="158"/>
      <c r="C740" s="159"/>
      <c r="D740" s="157"/>
      <c r="E740" s="157"/>
      <c r="F740" s="157"/>
      <c r="G740" s="157"/>
      <c r="H740" s="157"/>
      <c r="I740" s="157"/>
      <c r="J740" s="157"/>
      <c r="K740" s="157"/>
      <c r="L740" s="153">
        <f t="shared" si="55"/>
        <v>0</v>
      </c>
      <c r="M740" s="154">
        <f t="shared" si="56"/>
        <v>0</v>
      </c>
      <c r="N740" s="155">
        <f>+IF(OR($Q740=Parametres!$G$2,$Q740=Parametres!$G$3),I740,C740)</f>
        <v>0</v>
      </c>
      <c r="O740" s="1122">
        <f>+IF(OR($Q740=Parametres!$G$2,$Q740=Parametres!$G$3),J740,D740)</f>
        <v>0</v>
      </c>
      <c r="P740" s="155">
        <f>+IF(OR($Q740=Parametres!$G$2,$Q740=Parametres!$G$3),K740,E740)</f>
        <v>0</v>
      </c>
      <c r="Q740" s="154">
        <f t="shared" si="57"/>
        <v>0</v>
      </c>
      <c r="R740" s="153">
        <f t="shared" si="58"/>
        <v>0</v>
      </c>
      <c r="S740" s="154">
        <f t="shared" si="59"/>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hidden="1" customHeight="1">
      <c r="A741" s="157"/>
      <c r="B741" s="158"/>
      <c r="C741" s="159"/>
      <c r="D741" s="157"/>
      <c r="E741" s="157"/>
      <c r="F741" s="157"/>
      <c r="G741" s="157"/>
      <c r="H741" s="157"/>
      <c r="I741" s="157"/>
      <c r="J741" s="157"/>
      <c r="K741" s="157"/>
      <c r="L741" s="153">
        <f t="shared" si="55"/>
        <v>0</v>
      </c>
      <c r="M741" s="154">
        <f t="shared" si="56"/>
        <v>0</v>
      </c>
      <c r="N741" s="155">
        <f>+IF(OR($Q741=Parametres!$G$2,$Q741=Parametres!$G$3),I741,C741)</f>
        <v>0</v>
      </c>
      <c r="O741" s="1122">
        <f>+IF(OR($Q741=Parametres!$G$2,$Q741=Parametres!$G$3),J741,D741)</f>
        <v>0</v>
      </c>
      <c r="P741" s="155">
        <f>+IF(OR($Q741=Parametres!$G$2,$Q741=Parametres!$G$3),K741,E741)</f>
        <v>0</v>
      </c>
      <c r="Q741" s="154">
        <f t="shared" si="57"/>
        <v>0</v>
      </c>
      <c r="R741" s="153">
        <f t="shared" si="58"/>
        <v>0</v>
      </c>
      <c r="S741" s="154">
        <f t="shared" si="59"/>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hidden="1" customHeight="1">
      <c r="A742" s="157"/>
      <c r="B742" s="158"/>
      <c r="C742" s="159"/>
      <c r="D742" s="157"/>
      <c r="E742" s="157"/>
      <c r="F742" s="157"/>
      <c r="G742" s="157"/>
      <c r="H742" s="157"/>
      <c r="I742" s="157"/>
      <c r="J742" s="157"/>
      <c r="K742" s="157"/>
      <c r="L742" s="153">
        <f t="shared" si="55"/>
        <v>0</v>
      </c>
      <c r="M742" s="154">
        <f t="shared" si="56"/>
        <v>0</v>
      </c>
      <c r="N742" s="155">
        <f>+IF(OR($Q742=Parametres!$G$2,$Q742=Parametres!$G$3),I742,C742)</f>
        <v>0</v>
      </c>
      <c r="O742" s="1122">
        <f>+IF(OR($Q742=Parametres!$G$2,$Q742=Parametres!$G$3),J742,D742)</f>
        <v>0</v>
      </c>
      <c r="P742" s="155">
        <f>+IF(OR($Q742=Parametres!$G$2,$Q742=Parametres!$G$3),K742,E742)</f>
        <v>0</v>
      </c>
      <c r="Q742" s="154">
        <f t="shared" si="57"/>
        <v>0</v>
      </c>
      <c r="R742" s="153">
        <f t="shared" si="58"/>
        <v>0</v>
      </c>
      <c r="S742" s="154">
        <f t="shared" si="59"/>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hidden="1" customHeight="1">
      <c r="A743" s="157"/>
      <c r="B743" s="158"/>
      <c r="C743" s="159"/>
      <c r="D743" s="157"/>
      <c r="E743" s="157"/>
      <c r="F743" s="157"/>
      <c r="G743" s="157"/>
      <c r="H743" s="157"/>
      <c r="I743" s="157"/>
      <c r="J743" s="157"/>
      <c r="K743" s="157"/>
      <c r="L743" s="153">
        <f t="shared" si="55"/>
        <v>0</v>
      </c>
      <c r="M743" s="154">
        <f t="shared" si="56"/>
        <v>0</v>
      </c>
      <c r="N743" s="155">
        <f>+IF(OR($Q743=Parametres!$G$2,$Q743=Parametres!$G$3),I743,C743)</f>
        <v>0</v>
      </c>
      <c r="O743" s="1122">
        <f>+IF(OR($Q743=Parametres!$G$2,$Q743=Parametres!$G$3),J743,D743)</f>
        <v>0</v>
      </c>
      <c r="P743" s="155">
        <f>+IF(OR($Q743=Parametres!$G$2,$Q743=Parametres!$G$3),K743,E743)</f>
        <v>0</v>
      </c>
      <c r="Q743" s="154">
        <f t="shared" si="57"/>
        <v>0</v>
      </c>
      <c r="R743" s="153">
        <f t="shared" si="58"/>
        <v>0</v>
      </c>
      <c r="S743" s="154">
        <f t="shared" si="59"/>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hidden="1" customHeight="1">
      <c r="A744" s="157"/>
      <c r="B744" s="158"/>
      <c r="C744" s="159"/>
      <c r="D744" s="157"/>
      <c r="E744" s="157"/>
      <c r="F744" s="157"/>
      <c r="G744" s="157"/>
      <c r="H744" s="157"/>
      <c r="I744" s="157"/>
      <c r="J744" s="157"/>
      <c r="K744" s="157"/>
      <c r="L744" s="153">
        <f t="shared" si="55"/>
        <v>0</v>
      </c>
      <c r="M744" s="154">
        <f t="shared" si="56"/>
        <v>0</v>
      </c>
      <c r="N744" s="155">
        <f>+IF(OR($Q744=Parametres!$G$2,$Q744=Parametres!$G$3),I744,C744)</f>
        <v>0</v>
      </c>
      <c r="O744" s="1122">
        <f>+IF(OR($Q744=Parametres!$G$2,$Q744=Parametres!$G$3),J744,D744)</f>
        <v>0</v>
      </c>
      <c r="P744" s="155">
        <f>+IF(OR($Q744=Parametres!$G$2,$Q744=Parametres!$G$3),K744,E744)</f>
        <v>0</v>
      </c>
      <c r="Q744" s="154">
        <f t="shared" si="57"/>
        <v>0</v>
      </c>
      <c r="R744" s="153">
        <f t="shared" si="58"/>
        <v>0</v>
      </c>
      <c r="S744" s="154">
        <f t="shared" si="59"/>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hidden="1" customHeight="1">
      <c r="A745" s="157"/>
      <c r="B745" s="158"/>
      <c r="C745" s="159"/>
      <c r="D745" s="157"/>
      <c r="E745" s="157"/>
      <c r="F745" s="157"/>
      <c r="G745" s="157"/>
      <c r="H745" s="157"/>
      <c r="I745" s="157"/>
      <c r="J745" s="157"/>
      <c r="K745" s="157"/>
      <c r="L745" s="153">
        <f t="shared" si="55"/>
        <v>0</v>
      </c>
      <c r="M745" s="154">
        <f t="shared" si="56"/>
        <v>0</v>
      </c>
      <c r="N745" s="155">
        <f>+IF(OR($Q745=Parametres!$G$2,$Q745=Parametres!$G$3),I745,C745)</f>
        <v>0</v>
      </c>
      <c r="O745" s="1122">
        <f>+IF(OR($Q745=Parametres!$G$2,$Q745=Parametres!$G$3),J745,D745)</f>
        <v>0</v>
      </c>
      <c r="P745" s="155">
        <f>+IF(OR($Q745=Parametres!$G$2,$Q745=Parametres!$G$3),K745,E745)</f>
        <v>0</v>
      </c>
      <c r="Q745" s="154">
        <f t="shared" si="57"/>
        <v>0</v>
      </c>
      <c r="R745" s="153">
        <f t="shared" si="58"/>
        <v>0</v>
      </c>
      <c r="S745" s="154">
        <f t="shared" si="59"/>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hidden="1" customHeight="1">
      <c r="A746" s="157"/>
      <c r="B746" s="158"/>
      <c r="C746" s="159"/>
      <c r="D746" s="157"/>
      <c r="E746" s="157"/>
      <c r="F746" s="157"/>
      <c r="G746" s="157"/>
      <c r="H746" s="157"/>
      <c r="I746" s="157"/>
      <c r="J746" s="157"/>
      <c r="K746" s="157"/>
      <c r="L746" s="153">
        <f t="shared" si="55"/>
        <v>0</v>
      </c>
      <c r="M746" s="154">
        <f t="shared" si="56"/>
        <v>0</v>
      </c>
      <c r="N746" s="155">
        <f>+IF(OR($Q746=Parametres!$G$2,$Q746=Parametres!$G$3),I746,C746)</f>
        <v>0</v>
      </c>
      <c r="O746" s="1122">
        <f>+IF(OR($Q746=Parametres!$G$2,$Q746=Parametres!$G$3),J746,D746)</f>
        <v>0</v>
      </c>
      <c r="P746" s="155">
        <f>+IF(OR($Q746=Parametres!$G$2,$Q746=Parametres!$G$3),K746,E746)</f>
        <v>0</v>
      </c>
      <c r="Q746" s="154">
        <f t="shared" si="57"/>
        <v>0</v>
      </c>
      <c r="R746" s="153">
        <f t="shared" si="58"/>
        <v>0</v>
      </c>
      <c r="S746" s="154">
        <f t="shared" si="59"/>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hidden="1" customHeight="1">
      <c r="A747" s="157"/>
      <c r="B747" s="158"/>
      <c r="C747" s="159"/>
      <c r="D747" s="157"/>
      <c r="E747" s="157"/>
      <c r="F747" s="157"/>
      <c r="G747" s="157"/>
      <c r="H747" s="157"/>
      <c r="I747" s="157"/>
      <c r="J747" s="157"/>
      <c r="K747" s="157"/>
      <c r="L747" s="153">
        <f t="shared" si="55"/>
        <v>0</v>
      </c>
      <c r="M747" s="154">
        <f t="shared" si="56"/>
        <v>0</v>
      </c>
      <c r="N747" s="155">
        <f>+IF(OR($Q747=Parametres!$G$2,$Q747=Parametres!$G$3),I747,C747)</f>
        <v>0</v>
      </c>
      <c r="O747" s="1122">
        <f>+IF(OR($Q747=Parametres!$G$2,$Q747=Parametres!$G$3),J747,D747)</f>
        <v>0</v>
      </c>
      <c r="P747" s="155">
        <f>+IF(OR($Q747=Parametres!$G$2,$Q747=Parametres!$G$3),K747,E747)</f>
        <v>0</v>
      </c>
      <c r="Q747" s="154">
        <f t="shared" si="57"/>
        <v>0</v>
      </c>
      <c r="R747" s="153">
        <f t="shared" si="58"/>
        <v>0</v>
      </c>
      <c r="S747" s="154">
        <f t="shared" si="59"/>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hidden="1" customHeight="1">
      <c r="A748" s="157"/>
      <c r="B748" s="158"/>
      <c r="C748" s="159"/>
      <c r="D748" s="157"/>
      <c r="E748" s="157"/>
      <c r="F748" s="157"/>
      <c r="G748" s="157"/>
      <c r="H748" s="157"/>
      <c r="I748" s="157"/>
      <c r="J748" s="157"/>
      <c r="K748" s="157"/>
      <c r="L748" s="153">
        <f t="shared" si="55"/>
        <v>0</v>
      </c>
      <c r="M748" s="154">
        <f t="shared" si="56"/>
        <v>0</v>
      </c>
      <c r="N748" s="155">
        <f>+IF(OR($Q748=Parametres!$G$2,$Q748=Parametres!$G$3),I748,C748)</f>
        <v>0</v>
      </c>
      <c r="O748" s="1122">
        <f>+IF(OR($Q748=Parametres!$G$2,$Q748=Parametres!$G$3),J748,D748)</f>
        <v>0</v>
      </c>
      <c r="P748" s="155">
        <f>+IF(OR($Q748=Parametres!$G$2,$Q748=Parametres!$G$3),K748,E748)</f>
        <v>0</v>
      </c>
      <c r="Q748" s="154">
        <f t="shared" si="57"/>
        <v>0</v>
      </c>
      <c r="R748" s="153">
        <f t="shared" si="58"/>
        <v>0</v>
      </c>
      <c r="S748" s="154">
        <f t="shared" si="59"/>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hidden="1" customHeight="1">
      <c r="A749" s="157"/>
      <c r="B749" s="158"/>
      <c r="C749" s="159"/>
      <c r="D749" s="157"/>
      <c r="E749" s="157"/>
      <c r="F749" s="157"/>
      <c r="G749" s="157"/>
      <c r="H749" s="157"/>
      <c r="I749" s="157"/>
      <c r="J749" s="157"/>
      <c r="K749" s="157"/>
      <c r="L749" s="153">
        <f t="shared" si="55"/>
        <v>0</v>
      </c>
      <c r="M749" s="154">
        <f t="shared" si="56"/>
        <v>0</v>
      </c>
      <c r="N749" s="155">
        <f>+IF(OR($Q749=Parametres!$G$2,$Q749=Parametres!$G$3),I749,C749)</f>
        <v>0</v>
      </c>
      <c r="O749" s="1122">
        <f>+IF(OR($Q749=Parametres!$G$2,$Q749=Parametres!$G$3),J749,D749)</f>
        <v>0</v>
      </c>
      <c r="P749" s="155">
        <f>+IF(OR($Q749=Parametres!$G$2,$Q749=Parametres!$G$3),K749,E749)</f>
        <v>0</v>
      </c>
      <c r="Q749" s="154">
        <f t="shared" si="57"/>
        <v>0</v>
      </c>
      <c r="R749" s="153">
        <f t="shared" si="58"/>
        <v>0</v>
      </c>
      <c r="S749" s="154">
        <f t="shared" si="59"/>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hidden="1" customHeight="1">
      <c r="A750" s="157"/>
      <c r="B750" s="158"/>
      <c r="C750" s="159"/>
      <c r="D750" s="157"/>
      <c r="E750" s="157"/>
      <c r="F750" s="157"/>
      <c r="G750" s="157"/>
      <c r="H750" s="157"/>
      <c r="I750" s="157"/>
      <c r="J750" s="157"/>
      <c r="K750" s="157"/>
      <c r="L750" s="153">
        <f t="shared" si="55"/>
        <v>0</v>
      </c>
      <c r="M750" s="154">
        <f t="shared" si="56"/>
        <v>0</v>
      </c>
      <c r="N750" s="155">
        <f>+IF(OR($Q750=Parametres!$G$2,$Q750=Parametres!$G$3),I750,C750)</f>
        <v>0</v>
      </c>
      <c r="O750" s="1122">
        <f>+IF(OR($Q750=Parametres!$G$2,$Q750=Parametres!$G$3),J750,D750)</f>
        <v>0</v>
      </c>
      <c r="P750" s="155">
        <f>+IF(OR($Q750=Parametres!$G$2,$Q750=Parametres!$G$3),K750,E750)</f>
        <v>0</v>
      </c>
      <c r="Q750" s="154">
        <f t="shared" si="57"/>
        <v>0</v>
      </c>
      <c r="R750" s="153">
        <f t="shared" si="58"/>
        <v>0</v>
      </c>
      <c r="S750" s="154">
        <f t="shared" si="59"/>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hidden="1" customHeight="1">
      <c r="A751" s="157"/>
      <c r="B751" s="158"/>
      <c r="C751" s="159"/>
      <c r="D751" s="157"/>
      <c r="E751" s="157"/>
      <c r="F751" s="157"/>
      <c r="G751" s="157"/>
      <c r="H751" s="157"/>
      <c r="I751" s="157"/>
      <c r="J751" s="157"/>
      <c r="K751" s="157"/>
      <c r="L751" s="153">
        <f t="shared" si="55"/>
        <v>0</v>
      </c>
      <c r="M751" s="154">
        <f t="shared" si="56"/>
        <v>0</v>
      </c>
      <c r="N751" s="155">
        <f>+IF(OR($Q751=Parametres!$G$2,$Q751=Parametres!$G$3),I751,C751)</f>
        <v>0</v>
      </c>
      <c r="O751" s="1122">
        <f>+IF(OR($Q751=Parametres!$G$2,$Q751=Parametres!$G$3),J751,D751)</f>
        <v>0</v>
      </c>
      <c r="P751" s="155">
        <f>+IF(OR($Q751=Parametres!$G$2,$Q751=Parametres!$G$3),K751,E751)</f>
        <v>0</v>
      </c>
      <c r="Q751" s="154">
        <f t="shared" si="57"/>
        <v>0</v>
      </c>
      <c r="R751" s="153">
        <f t="shared" si="58"/>
        <v>0</v>
      </c>
      <c r="S751" s="154">
        <f t="shared" si="59"/>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hidden="1" customHeight="1">
      <c r="A752" s="157"/>
      <c r="B752" s="158"/>
      <c r="C752" s="159"/>
      <c r="D752" s="157"/>
      <c r="E752" s="157"/>
      <c r="F752" s="157"/>
      <c r="G752" s="157"/>
      <c r="H752" s="157"/>
      <c r="I752" s="157"/>
      <c r="J752" s="157"/>
      <c r="K752" s="157"/>
      <c r="L752" s="153">
        <f t="shared" si="55"/>
        <v>0</v>
      </c>
      <c r="M752" s="154">
        <f t="shared" si="56"/>
        <v>0</v>
      </c>
      <c r="N752" s="155">
        <f>+IF(OR($Q752=Parametres!$G$2,$Q752=Parametres!$G$3),I752,C752)</f>
        <v>0</v>
      </c>
      <c r="O752" s="1122">
        <f>+IF(OR($Q752=Parametres!$G$2,$Q752=Parametres!$G$3),J752,D752)</f>
        <v>0</v>
      </c>
      <c r="P752" s="155">
        <f>+IF(OR($Q752=Parametres!$G$2,$Q752=Parametres!$G$3),K752,E752)</f>
        <v>0</v>
      </c>
      <c r="Q752" s="154">
        <f t="shared" si="57"/>
        <v>0</v>
      </c>
      <c r="R752" s="153">
        <f t="shared" si="58"/>
        <v>0</v>
      </c>
      <c r="S752" s="154">
        <f t="shared" si="59"/>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hidden="1" customHeight="1">
      <c r="A753" s="157"/>
      <c r="B753" s="158"/>
      <c r="C753" s="159"/>
      <c r="D753" s="157"/>
      <c r="E753" s="157"/>
      <c r="F753" s="157"/>
      <c r="G753" s="157"/>
      <c r="H753" s="157"/>
      <c r="I753" s="157"/>
      <c r="J753" s="157"/>
      <c r="K753" s="157"/>
      <c r="L753" s="153">
        <f t="shared" si="55"/>
        <v>0</v>
      </c>
      <c r="M753" s="154">
        <f t="shared" si="56"/>
        <v>0</v>
      </c>
      <c r="N753" s="155">
        <f>+IF(OR($Q753=Parametres!$G$2,$Q753=Parametres!$G$3),I753,C753)</f>
        <v>0</v>
      </c>
      <c r="O753" s="1122">
        <f>+IF(OR($Q753=Parametres!$G$2,$Q753=Parametres!$G$3),J753,D753)</f>
        <v>0</v>
      </c>
      <c r="P753" s="155">
        <f>+IF(OR($Q753=Parametres!$G$2,$Q753=Parametres!$G$3),K753,E753)</f>
        <v>0</v>
      </c>
      <c r="Q753" s="154">
        <f t="shared" si="57"/>
        <v>0</v>
      </c>
      <c r="R753" s="153">
        <f t="shared" si="58"/>
        <v>0</v>
      </c>
      <c r="S753" s="154">
        <f t="shared" si="59"/>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hidden="1" customHeight="1">
      <c r="A754" s="157"/>
      <c r="B754" s="158"/>
      <c r="C754" s="159"/>
      <c r="D754" s="157"/>
      <c r="E754" s="157"/>
      <c r="F754" s="157"/>
      <c r="G754" s="157"/>
      <c r="H754" s="157"/>
      <c r="I754" s="157"/>
      <c r="J754" s="157"/>
      <c r="K754" s="157"/>
      <c r="L754" s="153">
        <f t="shared" si="55"/>
        <v>0</v>
      </c>
      <c r="M754" s="154">
        <f t="shared" si="56"/>
        <v>0</v>
      </c>
      <c r="N754" s="155">
        <f>+IF(OR($Q754=Parametres!$G$2,$Q754=Parametres!$G$3),I754,C754)</f>
        <v>0</v>
      </c>
      <c r="O754" s="1122">
        <f>+IF(OR($Q754=Parametres!$G$2,$Q754=Parametres!$G$3),J754,D754)</f>
        <v>0</v>
      </c>
      <c r="P754" s="155">
        <f>+IF(OR($Q754=Parametres!$G$2,$Q754=Parametres!$G$3),K754,E754)</f>
        <v>0</v>
      </c>
      <c r="Q754" s="154">
        <f t="shared" si="57"/>
        <v>0</v>
      </c>
      <c r="R754" s="153">
        <f t="shared" si="58"/>
        <v>0</v>
      </c>
      <c r="S754" s="154">
        <f t="shared" si="59"/>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hidden="1" customHeight="1">
      <c r="A755" s="157"/>
      <c r="B755" s="158"/>
      <c r="C755" s="159"/>
      <c r="D755" s="157"/>
      <c r="E755" s="157"/>
      <c r="F755" s="157"/>
      <c r="G755" s="157"/>
      <c r="H755" s="157"/>
      <c r="I755" s="157"/>
      <c r="J755" s="157"/>
      <c r="K755" s="157"/>
      <c r="L755" s="153">
        <f t="shared" si="55"/>
        <v>0</v>
      </c>
      <c r="M755" s="154">
        <f t="shared" si="56"/>
        <v>0</v>
      </c>
      <c r="N755" s="155">
        <f>+IF(OR($Q755=Parametres!$G$2,$Q755=Parametres!$G$3),I755,C755)</f>
        <v>0</v>
      </c>
      <c r="O755" s="1122">
        <f>+IF(OR($Q755=Parametres!$G$2,$Q755=Parametres!$G$3),J755,D755)</f>
        <v>0</v>
      </c>
      <c r="P755" s="155">
        <f>+IF(OR($Q755=Parametres!$G$2,$Q755=Parametres!$G$3),K755,E755)</f>
        <v>0</v>
      </c>
      <c r="Q755" s="154">
        <f t="shared" si="57"/>
        <v>0</v>
      </c>
      <c r="R755" s="153">
        <f t="shared" si="58"/>
        <v>0</v>
      </c>
      <c r="S755" s="154">
        <f t="shared" si="59"/>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hidden="1" customHeight="1">
      <c r="A756" s="157"/>
      <c r="B756" s="158"/>
      <c r="C756" s="159"/>
      <c r="D756" s="157"/>
      <c r="E756" s="157"/>
      <c r="F756" s="157"/>
      <c r="G756" s="157"/>
      <c r="H756" s="157"/>
      <c r="I756" s="157"/>
      <c r="J756" s="157"/>
      <c r="K756" s="157"/>
      <c r="L756" s="153">
        <f t="shared" si="55"/>
        <v>0</v>
      </c>
      <c r="M756" s="154">
        <f t="shared" si="56"/>
        <v>0</v>
      </c>
      <c r="N756" s="155">
        <f>+IF(OR($Q756=Parametres!$G$2,$Q756=Parametres!$G$3),I756,C756)</f>
        <v>0</v>
      </c>
      <c r="O756" s="1122">
        <f>+IF(OR($Q756=Parametres!$G$2,$Q756=Parametres!$G$3),J756,D756)</f>
        <v>0</v>
      </c>
      <c r="P756" s="155">
        <f>+IF(OR($Q756=Parametres!$G$2,$Q756=Parametres!$G$3),K756,E756)</f>
        <v>0</v>
      </c>
      <c r="Q756" s="154">
        <f t="shared" si="57"/>
        <v>0</v>
      </c>
      <c r="R756" s="153">
        <f t="shared" si="58"/>
        <v>0</v>
      </c>
      <c r="S756" s="154">
        <f t="shared" si="59"/>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hidden="1" customHeight="1">
      <c r="A757" s="157"/>
      <c r="B757" s="158"/>
      <c r="C757" s="159"/>
      <c r="D757" s="157"/>
      <c r="E757" s="157"/>
      <c r="F757" s="157"/>
      <c r="G757" s="157"/>
      <c r="H757" s="157"/>
      <c r="I757" s="157"/>
      <c r="J757" s="157"/>
      <c r="K757" s="157"/>
      <c r="L757" s="153">
        <f t="shared" si="55"/>
        <v>0</v>
      </c>
      <c r="M757" s="154">
        <f t="shared" si="56"/>
        <v>0</v>
      </c>
      <c r="N757" s="155">
        <f>+IF(OR($Q757=Parametres!$G$2,$Q757=Parametres!$G$3),I757,C757)</f>
        <v>0</v>
      </c>
      <c r="O757" s="1122">
        <f>+IF(OR($Q757=Parametres!$G$2,$Q757=Parametres!$G$3),J757,D757)</f>
        <v>0</v>
      </c>
      <c r="P757" s="155">
        <f>+IF(OR($Q757=Parametres!$G$2,$Q757=Parametres!$G$3),K757,E757)</f>
        <v>0</v>
      </c>
      <c r="Q757" s="154">
        <f t="shared" si="57"/>
        <v>0</v>
      </c>
      <c r="R757" s="153">
        <f t="shared" si="58"/>
        <v>0</v>
      </c>
      <c r="S757" s="154">
        <f t="shared" si="59"/>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hidden="1" customHeight="1">
      <c r="A758" s="157"/>
      <c r="B758" s="158"/>
      <c r="C758" s="159"/>
      <c r="D758" s="157"/>
      <c r="E758" s="157"/>
      <c r="F758" s="157"/>
      <c r="G758" s="157"/>
      <c r="H758" s="157"/>
      <c r="I758" s="157"/>
      <c r="J758" s="157"/>
      <c r="K758" s="157"/>
      <c r="L758" s="153">
        <f t="shared" si="55"/>
        <v>0</v>
      </c>
      <c r="M758" s="154">
        <f t="shared" si="56"/>
        <v>0</v>
      </c>
      <c r="N758" s="155">
        <f>+IF(OR($Q758=Parametres!$G$2,$Q758=Parametres!$G$3),I758,C758)</f>
        <v>0</v>
      </c>
      <c r="O758" s="1122">
        <f>+IF(OR($Q758=Parametres!$G$2,$Q758=Parametres!$G$3),J758,D758)</f>
        <v>0</v>
      </c>
      <c r="P758" s="155">
        <f>+IF(OR($Q758=Parametres!$G$2,$Q758=Parametres!$G$3),K758,E758)</f>
        <v>0</v>
      </c>
      <c r="Q758" s="154">
        <f t="shared" si="57"/>
        <v>0</v>
      </c>
      <c r="R758" s="153">
        <f t="shared" si="58"/>
        <v>0</v>
      </c>
      <c r="S758" s="154">
        <f t="shared" si="59"/>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hidden="1" customHeight="1">
      <c r="A759" s="157"/>
      <c r="B759" s="158"/>
      <c r="C759" s="159"/>
      <c r="D759" s="157"/>
      <c r="E759" s="157"/>
      <c r="F759" s="157"/>
      <c r="G759" s="157"/>
      <c r="H759" s="157"/>
      <c r="I759" s="157"/>
      <c r="J759" s="157"/>
      <c r="K759" s="157"/>
      <c r="L759" s="153">
        <f t="shared" si="55"/>
        <v>0</v>
      </c>
      <c r="M759" s="154">
        <f t="shared" si="56"/>
        <v>0</v>
      </c>
      <c r="N759" s="155">
        <f>+IF(OR($Q759=Parametres!$G$2,$Q759=Parametres!$G$3),I759,C759)</f>
        <v>0</v>
      </c>
      <c r="O759" s="1122">
        <f>+IF(OR($Q759=Parametres!$G$2,$Q759=Parametres!$G$3),J759,D759)</f>
        <v>0</v>
      </c>
      <c r="P759" s="155">
        <f>+IF(OR($Q759=Parametres!$G$2,$Q759=Parametres!$G$3),K759,E759)</f>
        <v>0</v>
      </c>
      <c r="Q759" s="154">
        <f t="shared" si="57"/>
        <v>0</v>
      </c>
      <c r="R759" s="153">
        <f t="shared" si="58"/>
        <v>0</v>
      </c>
      <c r="S759" s="154">
        <f t="shared" si="59"/>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hidden="1" customHeight="1">
      <c r="A760" s="157"/>
      <c r="B760" s="158"/>
      <c r="C760" s="159"/>
      <c r="D760" s="157"/>
      <c r="E760" s="157"/>
      <c r="F760" s="157"/>
      <c r="G760" s="157"/>
      <c r="H760" s="157"/>
      <c r="I760" s="157"/>
      <c r="J760" s="157"/>
      <c r="K760" s="157"/>
      <c r="L760" s="153">
        <f t="shared" si="55"/>
        <v>0</v>
      </c>
      <c r="M760" s="154">
        <f t="shared" si="56"/>
        <v>0</v>
      </c>
      <c r="N760" s="155">
        <f>+IF(OR($Q760=Parametres!$G$2,$Q760=Parametres!$G$3),I760,C760)</f>
        <v>0</v>
      </c>
      <c r="O760" s="1122">
        <f>+IF(OR($Q760=Parametres!$G$2,$Q760=Parametres!$G$3),J760,D760)</f>
        <v>0</v>
      </c>
      <c r="P760" s="155">
        <f>+IF(OR($Q760=Parametres!$G$2,$Q760=Parametres!$G$3),K760,E760)</f>
        <v>0</v>
      </c>
      <c r="Q760" s="154">
        <f t="shared" si="57"/>
        <v>0</v>
      </c>
      <c r="R760" s="153">
        <f t="shared" si="58"/>
        <v>0</v>
      </c>
      <c r="S760" s="154">
        <f t="shared" si="59"/>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hidden="1" customHeight="1">
      <c r="A761" s="157"/>
      <c r="B761" s="158"/>
      <c r="C761" s="159"/>
      <c r="D761" s="157"/>
      <c r="E761" s="157"/>
      <c r="F761" s="157"/>
      <c r="G761" s="157"/>
      <c r="H761" s="157"/>
      <c r="I761" s="157"/>
      <c r="J761" s="157"/>
      <c r="K761" s="157"/>
      <c r="L761" s="153">
        <f t="shared" si="55"/>
        <v>0</v>
      </c>
      <c r="M761" s="154">
        <f t="shared" si="56"/>
        <v>0</v>
      </c>
      <c r="N761" s="155">
        <f>+IF(OR($Q761=Parametres!$G$2,$Q761=Parametres!$G$3),I761,C761)</f>
        <v>0</v>
      </c>
      <c r="O761" s="1122">
        <f>+IF(OR($Q761=Parametres!$G$2,$Q761=Parametres!$G$3),J761,D761)</f>
        <v>0</v>
      </c>
      <c r="P761" s="155">
        <f>+IF(OR($Q761=Parametres!$G$2,$Q761=Parametres!$G$3),K761,E761)</f>
        <v>0</v>
      </c>
      <c r="Q761" s="154">
        <f t="shared" si="57"/>
        <v>0</v>
      </c>
      <c r="R761" s="153">
        <f t="shared" si="58"/>
        <v>0</v>
      </c>
      <c r="S761" s="154">
        <f t="shared" si="59"/>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hidden="1" customHeight="1">
      <c r="A762" s="157"/>
      <c r="B762" s="158"/>
      <c r="C762" s="159"/>
      <c r="D762" s="157"/>
      <c r="E762" s="157"/>
      <c r="F762" s="157"/>
      <c r="G762" s="157"/>
      <c r="H762" s="157"/>
      <c r="I762" s="157"/>
      <c r="J762" s="157"/>
      <c r="K762" s="157"/>
      <c r="L762" s="153">
        <f t="shared" si="55"/>
        <v>0</v>
      </c>
      <c r="M762" s="154">
        <f t="shared" si="56"/>
        <v>0</v>
      </c>
      <c r="N762" s="155">
        <f>+IF(OR($Q762=Parametres!$G$2,$Q762=Parametres!$G$3),I762,C762)</f>
        <v>0</v>
      </c>
      <c r="O762" s="1122">
        <f>+IF(OR($Q762=Parametres!$G$2,$Q762=Parametres!$G$3),J762,D762)</f>
        <v>0</v>
      </c>
      <c r="P762" s="155">
        <f>+IF(OR($Q762=Parametres!$G$2,$Q762=Parametres!$G$3),K762,E762)</f>
        <v>0</v>
      </c>
      <c r="Q762" s="154">
        <f t="shared" si="57"/>
        <v>0</v>
      </c>
      <c r="R762" s="153">
        <f t="shared" si="58"/>
        <v>0</v>
      </c>
      <c r="S762" s="154">
        <f t="shared" si="59"/>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hidden="1" customHeight="1">
      <c r="A763" s="157"/>
      <c r="B763" s="158"/>
      <c r="C763" s="159"/>
      <c r="D763" s="157"/>
      <c r="E763" s="157"/>
      <c r="F763" s="157"/>
      <c r="G763" s="157"/>
      <c r="H763" s="157"/>
      <c r="I763" s="157"/>
      <c r="J763" s="157"/>
      <c r="K763" s="157"/>
      <c r="L763" s="153">
        <f t="shared" si="55"/>
        <v>0</v>
      </c>
      <c r="M763" s="154">
        <f t="shared" si="56"/>
        <v>0</v>
      </c>
      <c r="N763" s="155">
        <f>+IF(OR($Q763=Parametres!$G$2,$Q763=Parametres!$G$3),I763,C763)</f>
        <v>0</v>
      </c>
      <c r="O763" s="1122">
        <f>+IF(OR($Q763=Parametres!$G$2,$Q763=Parametres!$G$3),J763,D763)</f>
        <v>0</v>
      </c>
      <c r="P763" s="155">
        <f>+IF(OR($Q763=Parametres!$G$2,$Q763=Parametres!$G$3),K763,E763)</f>
        <v>0</v>
      </c>
      <c r="Q763" s="154">
        <f t="shared" si="57"/>
        <v>0</v>
      </c>
      <c r="R763" s="153">
        <f t="shared" si="58"/>
        <v>0</v>
      </c>
      <c r="S763" s="154">
        <f t="shared" si="59"/>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hidden="1" customHeight="1">
      <c r="A764" s="157"/>
      <c r="B764" s="158"/>
      <c r="C764" s="159"/>
      <c r="D764" s="157"/>
      <c r="E764" s="157"/>
      <c r="F764" s="157"/>
      <c r="G764" s="157"/>
      <c r="H764" s="157"/>
      <c r="I764" s="157"/>
      <c r="J764" s="157"/>
      <c r="K764" s="157"/>
      <c r="L764" s="153">
        <f t="shared" si="55"/>
        <v>0</v>
      </c>
      <c r="M764" s="154">
        <f t="shared" si="56"/>
        <v>0</v>
      </c>
      <c r="N764" s="155">
        <f>+IF(OR($Q764=Parametres!$G$2,$Q764=Parametres!$G$3),I764,C764)</f>
        <v>0</v>
      </c>
      <c r="O764" s="1122">
        <f>+IF(OR($Q764=Parametres!$G$2,$Q764=Parametres!$G$3),J764,D764)</f>
        <v>0</v>
      </c>
      <c r="P764" s="155">
        <f>+IF(OR($Q764=Parametres!$G$2,$Q764=Parametres!$G$3),K764,E764)</f>
        <v>0</v>
      </c>
      <c r="Q764" s="154">
        <f t="shared" si="57"/>
        <v>0</v>
      </c>
      <c r="R764" s="153">
        <f t="shared" si="58"/>
        <v>0</v>
      </c>
      <c r="S764" s="154">
        <f t="shared" si="59"/>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hidden="1" customHeight="1">
      <c r="A765" s="157"/>
      <c r="B765" s="158"/>
      <c r="C765" s="159"/>
      <c r="D765" s="157"/>
      <c r="E765" s="157"/>
      <c r="F765" s="157"/>
      <c r="G765" s="157"/>
      <c r="H765" s="157"/>
      <c r="I765" s="157"/>
      <c r="J765" s="157"/>
      <c r="K765" s="157"/>
      <c r="L765" s="153">
        <f t="shared" si="55"/>
        <v>0</v>
      </c>
      <c r="M765" s="154">
        <f t="shared" si="56"/>
        <v>0</v>
      </c>
      <c r="N765" s="155">
        <f>+IF(OR($Q765=Parametres!$G$2,$Q765=Parametres!$G$3),I765,C765)</f>
        <v>0</v>
      </c>
      <c r="O765" s="1122">
        <f>+IF(OR($Q765=Parametres!$G$2,$Q765=Parametres!$G$3),J765,D765)</f>
        <v>0</v>
      </c>
      <c r="P765" s="155">
        <f>+IF(OR($Q765=Parametres!$G$2,$Q765=Parametres!$G$3),K765,E765)</f>
        <v>0</v>
      </c>
      <c r="Q765" s="154">
        <f t="shared" si="57"/>
        <v>0</v>
      </c>
      <c r="R765" s="153">
        <f t="shared" si="58"/>
        <v>0</v>
      </c>
      <c r="S765" s="154">
        <f t="shared" si="59"/>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hidden="1" customHeight="1">
      <c r="A766" s="157"/>
      <c r="B766" s="158"/>
      <c r="C766" s="159"/>
      <c r="D766" s="157"/>
      <c r="E766" s="157"/>
      <c r="F766" s="157"/>
      <c r="G766" s="157"/>
      <c r="H766" s="157"/>
      <c r="I766" s="157"/>
      <c r="J766" s="157"/>
      <c r="K766" s="157"/>
      <c r="L766" s="153">
        <f t="shared" si="55"/>
        <v>0</v>
      </c>
      <c r="M766" s="154">
        <f t="shared" si="56"/>
        <v>0</v>
      </c>
      <c r="N766" s="155">
        <f>+IF(OR($Q766=Parametres!$G$2,$Q766=Parametres!$G$3),I766,C766)</f>
        <v>0</v>
      </c>
      <c r="O766" s="1122">
        <f>+IF(OR($Q766=Parametres!$G$2,$Q766=Parametres!$G$3),J766,D766)</f>
        <v>0</v>
      </c>
      <c r="P766" s="155">
        <f>+IF(OR($Q766=Parametres!$G$2,$Q766=Parametres!$G$3),K766,E766)</f>
        <v>0</v>
      </c>
      <c r="Q766" s="154">
        <f t="shared" si="57"/>
        <v>0</v>
      </c>
      <c r="R766" s="153">
        <f t="shared" si="58"/>
        <v>0</v>
      </c>
      <c r="S766" s="154">
        <f t="shared" si="59"/>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hidden="1" customHeight="1">
      <c r="A767" s="157"/>
      <c r="B767" s="158"/>
      <c r="C767" s="159"/>
      <c r="D767" s="157"/>
      <c r="E767" s="157"/>
      <c r="F767" s="157"/>
      <c r="G767" s="157"/>
      <c r="H767" s="157"/>
      <c r="I767" s="157"/>
      <c r="J767" s="157"/>
      <c r="K767" s="157"/>
      <c r="L767" s="153">
        <f t="shared" si="55"/>
        <v>0</v>
      </c>
      <c r="M767" s="154">
        <f t="shared" si="56"/>
        <v>0</v>
      </c>
      <c r="N767" s="155">
        <f>+IF(OR($Q767=Parametres!$G$2,$Q767=Parametres!$G$3),I767,C767)</f>
        <v>0</v>
      </c>
      <c r="O767" s="1122">
        <f>+IF(OR($Q767=Parametres!$G$2,$Q767=Parametres!$G$3),J767,D767)</f>
        <v>0</v>
      </c>
      <c r="P767" s="155">
        <f>+IF(OR($Q767=Parametres!$G$2,$Q767=Parametres!$G$3),K767,E767)</f>
        <v>0</v>
      </c>
      <c r="Q767" s="154">
        <f t="shared" si="57"/>
        <v>0</v>
      </c>
      <c r="R767" s="153">
        <f t="shared" si="58"/>
        <v>0</v>
      </c>
      <c r="S767" s="154">
        <f t="shared" si="59"/>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hidden="1" customHeight="1">
      <c r="A768" s="157"/>
      <c r="B768" s="158"/>
      <c r="C768" s="159"/>
      <c r="D768" s="157"/>
      <c r="E768" s="157"/>
      <c r="F768" s="157"/>
      <c r="G768" s="157"/>
      <c r="H768" s="157"/>
      <c r="I768" s="157"/>
      <c r="J768" s="157"/>
      <c r="K768" s="157"/>
      <c r="L768" s="153">
        <f t="shared" si="55"/>
        <v>0</v>
      </c>
      <c r="M768" s="154">
        <f t="shared" si="56"/>
        <v>0</v>
      </c>
      <c r="N768" s="155">
        <f>+IF(OR($Q768=Parametres!$G$2,$Q768=Parametres!$G$3),I768,C768)</f>
        <v>0</v>
      </c>
      <c r="O768" s="1122">
        <f>+IF(OR($Q768=Parametres!$G$2,$Q768=Parametres!$G$3),J768,D768)</f>
        <v>0</v>
      </c>
      <c r="P768" s="155">
        <f>+IF(OR($Q768=Parametres!$G$2,$Q768=Parametres!$G$3),K768,E768)</f>
        <v>0</v>
      </c>
      <c r="Q768" s="154">
        <f t="shared" si="57"/>
        <v>0</v>
      </c>
      <c r="R768" s="153">
        <f t="shared" si="58"/>
        <v>0</v>
      </c>
      <c r="S768" s="154">
        <f t="shared" si="59"/>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hidden="1" customHeight="1">
      <c r="A769" s="157"/>
      <c r="B769" s="158"/>
      <c r="C769" s="159"/>
      <c r="D769" s="157"/>
      <c r="E769" s="157"/>
      <c r="F769" s="157"/>
      <c r="G769" s="157"/>
      <c r="H769" s="157"/>
      <c r="I769" s="157"/>
      <c r="J769" s="157"/>
      <c r="K769" s="157"/>
      <c r="L769" s="153">
        <f t="shared" si="55"/>
        <v>0</v>
      </c>
      <c r="M769" s="154">
        <f t="shared" si="56"/>
        <v>0</v>
      </c>
      <c r="N769" s="155">
        <f>+IF(OR($Q769=Parametres!$G$2,$Q769=Parametres!$G$3),I769,C769)</f>
        <v>0</v>
      </c>
      <c r="O769" s="1122">
        <f>+IF(OR($Q769=Parametres!$G$2,$Q769=Parametres!$G$3),J769,D769)</f>
        <v>0</v>
      </c>
      <c r="P769" s="155">
        <f>+IF(OR($Q769=Parametres!$G$2,$Q769=Parametres!$G$3),K769,E769)</f>
        <v>0</v>
      </c>
      <c r="Q769" s="154">
        <f t="shared" si="57"/>
        <v>0</v>
      </c>
      <c r="R769" s="153">
        <f t="shared" si="58"/>
        <v>0</v>
      </c>
      <c r="S769" s="154">
        <f t="shared" si="59"/>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hidden="1" customHeight="1">
      <c r="A770" s="157"/>
      <c r="B770" s="158"/>
      <c r="C770" s="159"/>
      <c r="D770" s="157"/>
      <c r="E770" s="157"/>
      <c r="F770" s="157"/>
      <c r="G770" s="157"/>
      <c r="H770" s="157"/>
      <c r="I770" s="157"/>
      <c r="J770" s="157"/>
      <c r="K770" s="157"/>
      <c r="L770" s="153">
        <f t="shared" ref="L770:L833" si="60">+B770</f>
        <v>0</v>
      </c>
      <c r="M770" s="154">
        <f t="shared" ref="M770:M833" si="61">+A770</f>
        <v>0</v>
      </c>
      <c r="N770" s="155">
        <f>+IF(OR($Q770=Parametres!$G$2,$Q770=Parametres!$G$3),I770,C770)</f>
        <v>0</v>
      </c>
      <c r="O770" s="1122">
        <f>+IF(OR($Q770=Parametres!$G$2,$Q770=Parametres!$G$3),J770,D770)</f>
        <v>0</v>
      </c>
      <c r="P770" s="155">
        <f>+IF(OR($Q770=Parametres!$G$2,$Q770=Parametres!$G$3),K770,E770)</f>
        <v>0</v>
      </c>
      <c r="Q770" s="154">
        <f t="shared" ref="Q770:Q833" si="62">+F770</f>
        <v>0</v>
      </c>
      <c r="R770" s="153">
        <f t="shared" ref="R770:R833" si="63">+G770</f>
        <v>0</v>
      </c>
      <c r="S770" s="154">
        <f t="shared" ref="S770:S833" si="64">+H770</f>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hidden="1" customHeight="1">
      <c r="A771" s="157"/>
      <c r="B771" s="158"/>
      <c r="C771" s="159"/>
      <c r="D771" s="157"/>
      <c r="E771" s="157"/>
      <c r="F771" s="157"/>
      <c r="G771" s="157"/>
      <c r="H771" s="157"/>
      <c r="I771" s="157"/>
      <c r="J771" s="157"/>
      <c r="K771" s="157"/>
      <c r="L771" s="153">
        <f t="shared" si="60"/>
        <v>0</v>
      </c>
      <c r="M771" s="154">
        <f t="shared" si="61"/>
        <v>0</v>
      </c>
      <c r="N771" s="155">
        <f>+IF(OR($Q771=Parametres!$G$2,$Q771=Parametres!$G$3),I771,C771)</f>
        <v>0</v>
      </c>
      <c r="O771" s="1122">
        <f>+IF(OR($Q771=Parametres!$G$2,$Q771=Parametres!$G$3),J771,D771)</f>
        <v>0</v>
      </c>
      <c r="P771" s="155">
        <f>+IF(OR($Q771=Parametres!$G$2,$Q771=Parametres!$G$3),K771,E771)</f>
        <v>0</v>
      </c>
      <c r="Q771" s="154">
        <f t="shared" si="62"/>
        <v>0</v>
      </c>
      <c r="R771" s="153">
        <f t="shared" si="63"/>
        <v>0</v>
      </c>
      <c r="S771" s="154">
        <f t="shared" si="64"/>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hidden="1" customHeight="1">
      <c r="A772" s="157"/>
      <c r="B772" s="158"/>
      <c r="C772" s="159"/>
      <c r="D772" s="157"/>
      <c r="E772" s="157"/>
      <c r="F772" s="157"/>
      <c r="G772" s="157"/>
      <c r="H772" s="157"/>
      <c r="I772" s="157"/>
      <c r="J772" s="157"/>
      <c r="K772" s="157"/>
      <c r="L772" s="153">
        <f t="shared" si="60"/>
        <v>0</v>
      </c>
      <c r="M772" s="154">
        <f t="shared" si="61"/>
        <v>0</v>
      </c>
      <c r="N772" s="155">
        <f>+IF(OR($Q772=Parametres!$G$2,$Q772=Parametres!$G$3),I772,C772)</f>
        <v>0</v>
      </c>
      <c r="O772" s="1122">
        <f>+IF(OR($Q772=Parametres!$G$2,$Q772=Parametres!$G$3),J772,D772)</f>
        <v>0</v>
      </c>
      <c r="P772" s="155">
        <f>+IF(OR($Q772=Parametres!$G$2,$Q772=Parametres!$G$3),K772,E772)</f>
        <v>0</v>
      </c>
      <c r="Q772" s="154">
        <f t="shared" si="62"/>
        <v>0</v>
      </c>
      <c r="R772" s="153">
        <f t="shared" si="63"/>
        <v>0</v>
      </c>
      <c r="S772" s="154">
        <f t="shared" si="64"/>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hidden="1" customHeight="1">
      <c r="A773" s="157"/>
      <c r="B773" s="158"/>
      <c r="C773" s="159"/>
      <c r="D773" s="157"/>
      <c r="E773" s="157"/>
      <c r="F773" s="157"/>
      <c r="G773" s="157"/>
      <c r="H773" s="157"/>
      <c r="I773" s="157"/>
      <c r="J773" s="157"/>
      <c r="K773" s="157"/>
      <c r="L773" s="153">
        <f t="shared" si="60"/>
        <v>0</v>
      </c>
      <c r="M773" s="154">
        <f t="shared" si="61"/>
        <v>0</v>
      </c>
      <c r="N773" s="155">
        <f>+IF(OR($Q773=Parametres!$G$2,$Q773=Parametres!$G$3),I773,C773)</f>
        <v>0</v>
      </c>
      <c r="O773" s="1122">
        <f>+IF(OR($Q773=Parametres!$G$2,$Q773=Parametres!$G$3),J773,D773)</f>
        <v>0</v>
      </c>
      <c r="P773" s="155">
        <f>+IF(OR($Q773=Parametres!$G$2,$Q773=Parametres!$G$3),K773,E773)</f>
        <v>0</v>
      </c>
      <c r="Q773" s="154">
        <f t="shared" si="62"/>
        <v>0</v>
      </c>
      <c r="R773" s="153">
        <f t="shared" si="63"/>
        <v>0</v>
      </c>
      <c r="S773" s="154">
        <f t="shared" si="64"/>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hidden="1" customHeight="1">
      <c r="A774" s="157"/>
      <c r="B774" s="158"/>
      <c r="C774" s="159"/>
      <c r="D774" s="157"/>
      <c r="E774" s="157"/>
      <c r="F774" s="157"/>
      <c r="G774" s="157"/>
      <c r="H774" s="157"/>
      <c r="I774" s="157"/>
      <c r="J774" s="157"/>
      <c r="K774" s="157"/>
      <c r="L774" s="153">
        <f t="shared" si="60"/>
        <v>0</v>
      </c>
      <c r="M774" s="154">
        <f t="shared" si="61"/>
        <v>0</v>
      </c>
      <c r="N774" s="155">
        <f>+IF(OR($Q774=Parametres!$G$2,$Q774=Parametres!$G$3),I774,C774)</f>
        <v>0</v>
      </c>
      <c r="O774" s="1122">
        <f>+IF(OR($Q774=Parametres!$G$2,$Q774=Parametres!$G$3),J774,D774)</f>
        <v>0</v>
      </c>
      <c r="P774" s="155">
        <f>+IF(OR($Q774=Parametres!$G$2,$Q774=Parametres!$G$3),K774,E774)</f>
        <v>0</v>
      </c>
      <c r="Q774" s="154">
        <f t="shared" si="62"/>
        <v>0</v>
      </c>
      <c r="R774" s="153">
        <f t="shared" si="63"/>
        <v>0</v>
      </c>
      <c r="S774" s="154">
        <f t="shared" si="64"/>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hidden="1" customHeight="1">
      <c r="A775" s="157"/>
      <c r="B775" s="158"/>
      <c r="C775" s="159"/>
      <c r="D775" s="157"/>
      <c r="E775" s="157"/>
      <c r="F775" s="157"/>
      <c r="G775" s="157"/>
      <c r="H775" s="157"/>
      <c r="I775" s="157"/>
      <c r="J775" s="157"/>
      <c r="K775" s="157"/>
      <c r="L775" s="153">
        <f t="shared" si="60"/>
        <v>0</v>
      </c>
      <c r="M775" s="154">
        <f t="shared" si="61"/>
        <v>0</v>
      </c>
      <c r="N775" s="155">
        <f>+IF(OR($Q775=Parametres!$G$2,$Q775=Parametres!$G$3),I775,C775)</f>
        <v>0</v>
      </c>
      <c r="O775" s="1122">
        <f>+IF(OR($Q775=Parametres!$G$2,$Q775=Parametres!$G$3),J775,D775)</f>
        <v>0</v>
      </c>
      <c r="P775" s="155">
        <f>+IF(OR($Q775=Parametres!$G$2,$Q775=Parametres!$G$3),K775,E775)</f>
        <v>0</v>
      </c>
      <c r="Q775" s="154">
        <f t="shared" si="62"/>
        <v>0</v>
      </c>
      <c r="R775" s="153">
        <f t="shared" si="63"/>
        <v>0</v>
      </c>
      <c r="S775" s="154">
        <f t="shared" si="64"/>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hidden="1" customHeight="1">
      <c r="A776" s="157"/>
      <c r="B776" s="158"/>
      <c r="C776" s="159"/>
      <c r="D776" s="157"/>
      <c r="E776" s="157"/>
      <c r="F776" s="157"/>
      <c r="G776" s="157"/>
      <c r="H776" s="157"/>
      <c r="I776" s="157"/>
      <c r="J776" s="157"/>
      <c r="K776" s="157"/>
      <c r="L776" s="153">
        <f t="shared" si="60"/>
        <v>0</v>
      </c>
      <c r="M776" s="154">
        <f t="shared" si="61"/>
        <v>0</v>
      </c>
      <c r="N776" s="155">
        <f>+IF(OR($Q776=Parametres!$G$2,$Q776=Parametres!$G$3),I776,C776)</f>
        <v>0</v>
      </c>
      <c r="O776" s="1122">
        <f>+IF(OR($Q776=Parametres!$G$2,$Q776=Parametres!$G$3),J776,D776)</f>
        <v>0</v>
      </c>
      <c r="P776" s="155">
        <f>+IF(OR($Q776=Parametres!$G$2,$Q776=Parametres!$G$3),K776,E776)</f>
        <v>0</v>
      </c>
      <c r="Q776" s="154">
        <f t="shared" si="62"/>
        <v>0</v>
      </c>
      <c r="R776" s="153">
        <f t="shared" si="63"/>
        <v>0</v>
      </c>
      <c r="S776" s="154">
        <f t="shared" si="64"/>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hidden="1" customHeight="1">
      <c r="A777" s="157"/>
      <c r="B777" s="158"/>
      <c r="C777" s="159"/>
      <c r="D777" s="157"/>
      <c r="E777" s="157"/>
      <c r="F777" s="157"/>
      <c r="G777" s="157"/>
      <c r="H777" s="157"/>
      <c r="I777" s="157"/>
      <c r="J777" s="157"/>
      <c r="K777" s="157"/>
      <c r="L777" s="153">
        <f t="shared" si="60"/>
        <v>0</v>
      </c>
      <c r="M777" s="154">
        <f t="shared" si="61"/>
        <v>0</v>
      </c>
      <c r="N777" s="155">
        <f>+IF(OR($Q777=Parametres!$G$2,$Q777=Parametres!$G$3),I777,C777)</f>
        <v>0</v>
      </c>
      <c r="O777" s="1122">
        <f>+IF(OR($Q777=Parametres!$G$2,$Q777=Parametres!$G$3),J777,D777)</f>
        <v>0</v>
      </c>
      <c r="P777" s="155">
        <f>+IF(OR($Q777=Parametres!$G$2,$Q777=Parametres!$G$3),K777,E777)</f>
        <v>0</v>
      </c>
      <c r="Q777" s="154">
        <f t="shared" si="62"/>
        <v>0</v>
      </c>
      <c r="R777" s="153">
        <f t="shared" si="63"/>
        <v>0</v>
      </c>
      <c r="S777" s="154">
        <f t="shared" si="64"/>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hidden="1" customHeight="1">
      <c r="A778" s="157"/>
      <c r="B778" s="158"/>
      <c r="C778" s="159"/>
      <c r="D778" s="157"/>
      <c r="E778" s="157"/>
      <c r="F778" s="157"/>
      <c r="G778" s="157"/>
      <c r="H778" s="157"/>
      <c r="I778" s="157"/>
      <c r="J778" s="157"/>
      <c r="K778" s="157"/>
      <c r="L778" s="153">
        <f t="shared" si="60"/>
        <v>0</v>
      </c>
      <c r="M778" s="154">
        <f t="shared" si="61"/>
        <v>0</v>
      </c>
      <c r="N778" s="155">
        <f>+IF(OR($Q778=Parametres!$G$2,$Q778=Parametres!$G$3),I778,C778)</f>
        <v>0</v>
      </c>
      <c r="O778" s="1122">
        <f>+IF(OR($Q778=Parametres!$G$2,$Q778=Parametres!$G$3),J778,D778)</f>
        <v>0</v>
      </c>
      <c r="P778" s="155">
        <f>+IF(OR($Q778=Parametres!$G$2,$Q778=Parametres!$G$3),K778,E778)</f>
        <v>0</v>
      </c>
      <c r="Q778" s="154">
        <f t="shared" si="62"/>
        <v>0</v>
      </c>
      <c r="R778" s="153">
        <f t="shared" si="63"/>
        <v>0</v>
      </c>
      <c r="S778" s="154">
        <f t="shared" si="64"/>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hidden="1" customHeight="1">
      <c r="A779" s="157"/>
      <c r="B779" s="158"/>
      <c r="C779" s="159"/>
      <c r="D779" s="157"/>
      <c r="E779" s="157"/>
      <c r="F779" s="157"/>
      <c r="G779" s="157"/>
      <c r="H779" s="157"/>
      <c r="I779" s="157"/>
      <c r="J779" s="157"/>
      <c r="K779" s="157"/>
      <c r="L779" s="153">
        <f t="shared" si="60"/>
        <v>0</v>
      </c>
      <c r="M779" s="154">
        <f t="shared" si="61"/>
        <v>0</v>
      </c>
      <c r="N779" s="155">
        <f>+IF(OR($Q779=Parametres!$G$2,$Q779=Parametres!$G$3),I779,C779)</f>
        <v>0</v>
      </c>
      <c r="O779" s="1122">
        <f>+IF(OR($Q779=Parametres!$G$2,$Q779=Parametres!$G$3),J779,D779)</f>
        <v>0</v>
      </c>
      <c r="P779" s="155">
        <f>+IF(OR($Q779=Parametres!$G$2,$Q779=Parametres!$G$3),K779,E779)</f>
        <v>0</v>
      </c>
      <c r="Q779" s="154">
        <f t="shared" si="62"/>
        <v>0</v>
      </c>
      <c r="R779" s="153">
        <f t="shared" si="63"/>
        <v>0</v>
      </c>
      <c r="S779" s="154">
        <f t="shared" si="64"/>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hidden="1" customHeight="1">
      <c r="A780" s="157"/>
      <c r="B780" s="158"/>
      <c r="C780" s="159"/>
      <c r="D780" s="157"/>
      <c r="E780" s="157"/>
      <c r="F780" s="157"/>
      <c r="G780" s="157"/>
      <c r="H780" s="157"/>
      <c r="I780" s="157"/>
      <c r="J780" s="157"/>
      <c r="K780" s="157"/>
      <c r="L780" s="153">
        <f t="shared" si="60"/>
        <v>0</v>
      </c>
      <c r="M780" s="154">
        <f t="shared" si="61"/>
        <v>0</v>
      </c>
      <c r="N780" s="155">
        <f>+IF(OR($Q780=Parametres!$G$2,$Q780=Parametres!$G$3),I780,C780)</f>
        <v>0</v>
      </c>
      <c r="O780" s="1122">
        <f>+IF(OR($Q780=Parametres!$G$2,$Q780=Parametres!$G$3),J780,D780)</f>
        <v>0</v>
      </c>
      <c r="P780" s="155">
        <f>+IF(OR($Q780=Parametres!$G$2,$Q780=Parametres!$G$3),K780,E780)</f>
        <v>0</v>
      </c>
      <c r="Q780" s="154">
        <f t="shared" si="62"/>
        <v>0</v>
      </c>
      <c r="R780" s="153">
        <f t="shared" si="63"/>
        <v>0</v>
      </c>
      <c r="S780" s="154">
        <f t="shared" si="64"/>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hidden="1" customHeight="1">
      <c r="A781" s="157"/>
      <c r="B781" s="158"/>
      <c r="C781" s="159"/>
      <c r="D781" s="157"/>
      <c r="E781" s="157"/>
      <c r="F781" s="157"/>
      <c r="G781" s="157"/>
      <c r="H781" s="157"/>
      <c r="I781" s="157"/>
      <c r="J781" s="157"/>
      <c r="K781" s="157"/>
      <c r="L781" s="153">
        <f t="shared" si="60"/>
        <v>0</v>
      </c>
      <c r="M781" s="154">
        <f t="shared" si="61"/>
        <v>0</v>
      </c>
      <c r="N781" s="155">
        <f>+IF(OR($Q781=Parametres!$G$2,$Q781=Parametres!$G$3),I781,C781)</f>
        <v>0</v>
      </c>
      <c r="O781" s="1122">
        <f>+IF(OR($Q781=Parametres!$G$2,$Q781=Parametres!$G$3),J781,D781)</f>
        <v>0</v>
      </c>
      <c r="P781" s="155">
        <f>+IF(OR($Q781=Parametres!$G$2,$Q781=Parametres!$G$3),K781,E781)</f>
        <v>0</v>
      </c>
      <c r="Q781" s="154">
        <f t="shared" si="62"/>
        <v>0</v>
      </c>
      <c r="R781" s="153">
        <f t="shared" si="63"/>
        <v>0</v>
      </c>
      <c r="S781" s="154">
        <f t="shared" si="64"/>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hidden="1" customHeight="1">
      <c r="A782" s="157"/>
      <c r="B782" s="158"/>
      <c r="C782" s="159"/>
      <c r="D782" s="157"/>
      <c r="E782" s="157"/>
      <c r="F782" s="157"/>
      <c r="G782" s="157"/>
      <c r="H782" s="157"/>
      <c r="I782" s="157"/>
      <c r="J782" s="157"/>
      <c r="K782" s="157"/>
      <c r="L782" s="153">
        <f t="shared" si="60"/>
        <v>0</v>
      </c>
      <c r="M782" s="154">
        <f t="shared" si="61"/>
        <v>0</v>
      </c>
      <c r="N782" s="155">
        <f>+IF(OR($Q782=Parametres!$G$2,$Q782=Parametres!$G$3),I782,C782)</f>
        <v>0</v>
      </c>
      <c r="O782" s="1122">
        <f>+IF(OR($Q782=Parametres!$G$2,$Q782=Parametres!$G$3),J782,D782)</f>
        <v>0</v>
      </c>
      <c r="P782" s="155">
        <f>+IF(OR($Q782=Parametres!$G$2,$Q782=Parametres!$G$3),K782,E782)</f>
        <v>0</v>
      </c>
      <c r="Q782" s="154">
        <f t="shared" si="62"/>
        <v>0</v>
      </c>
      <c r="R782" s="153">
        <f t="shared" si="63"/>
        <v>0</v>
      </c>
      <c r="S782" s="154">
        <f t="shared" si="64"/>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hidden="1" customHeight="1">
      <c r="A783" s="157"/>
      <c r="B783" s="158"/>
      <c r="C783" s="159"/>
      <c r="D783" s="157"/>
      <c r="E783" s="157"/>
      <c r="F783" s="157"/>
      <c r="G783" s="157"/>
      <c r="H783" s="157"/>
      <c r="I783" s="157"/>
      <c r="J783" s="157"/>
      <c r="K783" s="157"/>
      <c r="L783" s="153">
        <f t="shared" si="60"/>
        <v>0</v>
      </c>
      <c r="M783" s="154">
        <f t="shared" si="61"/>
        <v>0</v>
      </c>
      <c r="N783" s="155">
        <f>+IF(OR($Q783=Parametres!$G$2,$Q783=Parametres!$G$3),I783,C783)</f>
        <v>0</v>
      </c>
      <c r="O783" s="1122">
        <f>+IF(OR($Q783=Parametres!$G$2,$Q783=Parametres!$G$3),J783,D783)</f>
        <v>0</v>
      </c>
      <c r="P783" s="155">
        <f>+IF(OR($Q783=Parametres!$G$2,$Q783=Parametres!$G$3),K783,E783)</f>
        <v>0</v>
      </c>
      <c r="Q783" s="154">
        <f t="shared" si="62"/>
        <v>0</v>
      </c>
      <c r="R783" s="153">
        <f t="shared" si="63"/>
        <v>0</v>
      </c>
      <c r="S783" s="154">
        <f t="shared" si="64"/>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hidden="1" customHeight="1">
      <c r="A784" s="157"/>
      <c r="B784" s="158"/>
      <c r="C784" s="159"/>
      <c r="D784" s="157"/>
      <c r="E784" s="157"/>
      <c r="F784" s="157"/>
      <c r="G784" s="157"/>
      <c r="H784" s="157"/>
      <c r="I784" s="157"/>
      <c r="J784" s="157"/>
      <c r="K784" s="157"/>
      <c r="L784" s="153">
        <f t="shared" si="60"/>
        <v>0</v>
      </c>
      <c r="M784" s="154">
        <f t="shared" si="61"/>
        <v>0</v>
      </c>
      <c r="N784" s="155">
        <f>+IF(OR($Q784=Parametres!$G$2,$Q784=Parametres!$G$3),I784,C784)</f>
        <v>0</v>
      </c>
      <c r="O784" s="1122">
        <f>+IF(OR($Q784=Parametres!$G$2,$Q784=Parametres!$G$3),J784,D784)</f>
        <v>0</v>
      </c>
      <c r="P784" s="155">
        <f>+IF(OR($Q784=Parametres!$G$2,$Q784=Parametres!$G$3),K784,E784)</f>
        <v>0</v>
      </c>
      <c r="Q784" s="154">
        <f t="shared" si="62"/>
        <v>0</v>
      </c>
      <c r="R784" s="153">
        <f t="shared" si="63"/>
        <v>0</v>
      </c>
      <c r="S784" s="154">
        <f t="shared" si="64"/>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hidden="1" customHeight="1">
      <c r="A785" s="157"/>
      <c r="B785" s="158"/>
      <c r="C785" s="159"/>
      <c r="D785" s="157"/>
      <c r="E785" s="157"/>
      <c r="F785" s="157"/>
      <c r="G785" s="157"/>
      <c r="H785" s="157"/>
      <c r="I785" s="157"/>
      <c r="J785" s="157"/>
      <c r="K785" s="157"/>
      <c r="L785" s="153">
        <f t="shared" si="60"/>
        <v>0</v>
      </c>
      <c r="M785" s="154">
        <f t="shared" si="61"/>
        <v>0</v>
      </c>
      <c r="N785" s="155">
        <f>+IF(OR($Q785=Parametres!$G$2,$Q785=Parametres!$G$3),I785,C785)</f>
        <v>0</v>
      </c>
      <c r="O785" s="1122">
        <f>+IF(OR($Q785=Parametres!$G$2,$Q785=Parametres!$G$3),J785,D785)</f>
        <v>0</v>
      </c>
      <c r="P785" s="155">
        <f>+IF(OR($Q785=Parametres!$G$2,$Q785=Parametres!$G$3),K785,E785)</f>
        <v>0</v>
      </c>
      <c r="Q785" s="154">
        <f t="shared" si="62"/>
        <v>0</v>
      </c>
      <c r="R785" s="153">
        <f t="shared" si="63"/>
        <v>0</v>
      </c>
      <c r="S785" s="154">
        <f t="shared" si="64"/>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hidden="1" customHeight="1">
      <c r="A786" s="157"/>
      <c r="B786" s="158"/>
      <c r="C786" s="159"/>
      <c r="D786" s="157"/>
      <c r="E786" s="157"/>
      <c r="F786" s="157"/>
      <c r="G786" s="157"/>
      <c r="H786" s="157"/>
      <c r="I786" s="157"/>
      <c r="J786" s="157"/>
      <c r="K786" s="157"/>
      <c r="L786" s="153">
        <f t="shared" si="60"/>
        <v>0</v>
      </c>
      <c r="M786" s="154">
        <f t="shared" si="61"/>
        <v>0</v>
      </c>
      <c r="N786" s="155">
        <f>+IF(OR($Q786=Parametres!$G$2,$Q786=Parametres!$G$3),I786,C786)</f>
        <v>0</v>
      </c>
      <c r="O786" s="1122">
        <f>+IF(OR($Q786=Parametres!$G$2,$Q786=Parametres!$G$3),J786,D786)</f>
        <v>0</v>
      </c>
      <c r="P786" s="155">
        <f>+IF(OR($Q786=Parametres!$G$2,$Q786=Parametres!$G$3),K786,E786)</f>
        <v>0</v>
      </c>
      <c r="Q786" s="154">
        <f t="shared" si="62"/>
        <v>0</v>
      </c>
      <c r="R786" s="153">
        <f t="shared" si="63"/>
        <v>0</v>
      </c>
      <c r="S786" s="154">
        <f t="shared" si="64"/>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hidden="1" customHeight="1">
      <c r="A787" s="157"/>
      <c r="B787" s="158"/>
      <c r="C787" s="159"/>
      <c r="D787" s="157"/>
      <c r="E787" s="157"/>
      <c r="F787" s="157"/>
      <c r="G787" s="157"/>
      <c r="H787" s="157"/>
      <c r="I787" s="157"/>
      <c r="J787" s="157"/>
      <c r="K787" s="157"/>
      <c r="L787" s="153">
        <f t="shared" si="60"/>
        <v>0</v>
      </c>
      <c r="M787" s="154">
        <f t="shared" si="61"/>
        <v>0</v>
      </c>
      <c r="N787" s="155">
        <f>+IF(OR($Q787=Parametres!$G$2,$Q787=Parametres!$G$3),I787,C787)</f>
        <v>0</v>
      </c>
      <c r="O787" s="1122">
        <f>+IF(OR($Q787=Parametres!$G$2,$Q787=Parametres!$G$3),J787,D787)</f>
        <v>0</v>
      </c>
      <c r="P787" s="155">
        <f>+IF(OR($Q787=Parametres!$G$2,$Q787=Parametres!$G$3),K787,E787)</f>
        <v>0</v>
      </c>
      <c r="Q787" s="154">
        <f t="shared" si="62"/>
        <v>0</v>
      </c>
      <c r="R787" s="153">
        <f t="shared" si="63"/>
        <v>0</v>
      </c>
      <c r="S787" s="154">
        <f t="shared" si="64"/>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hidden="1" customHeight="1">
      <c r="A788" s="157"/>
      <c r="B788" s="158"/>
      <c r="C788" s="159"/>
      <c r="D788" s="157"/>
      <c r="E788" s="157"/>
      <c r="F788" s="157"/>
      <c r="G788" s="157"/>
      <c r="H788" s="157"/>
      <c r="I788" s="157"/>
      <c r="J788" s="157"/>
      <c r="K788" s="157"/>
      <c r="L788" s="153">
        <f t="shared" si="60"/>
        <v>0</v>
      </c>
      <c r="M788" s="154">
        <f t="shared" si="61"/>
        <v>0</v>
      </c>
      <c r="N788" s="155">
        <f>+IF(OR($Q788=Parametres!$G$2,$Q788=Parametres!$G$3),I788,C788)</f>
        <v>0</v>
      </c>
      <c r="O788" s="1122">
        <f>+IF(OR($Q788=Parametres!$G$2,$Q788=Parametres!$G$3),J788,D788)</f>
        <v>0</v>
      </c>
      <c r="P788" s="155">
        <f>+IF(OR($Q788=Parametres!$G$2,$Q788=Parametres!$G$3),K788,E788)</f>
        <v>0</v>
      </c>
      <c r="Q788" s="154">
        <f t="shared" si="62"/>
        <v>0</v>
      </c>
      <c r="R788" s="153">
        <f t="shared" si="63"/>
        <v>0</v>
      </c>
      <c r="S788" s="154">
        <f t="shared" si="64"/>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hidden="1" customHeight="1">
      <c r="A789" s="157"/>
      <c r="B789" s="158"/>
      <c r="C789" s="159"/>
      <c r="D789" s="157"/>
      <c r="E789" s="157"/>
      <c r="F789" s="157"/>
      <c r="G789" s="157"/>
      <c r="H789" s="157"/>
      <c r="I789" s="157"/>
      <c r="J789" s="157"/>
      <c r="K789" s="157"/>
      <c r="L789" s="153">
        <f t="shared" si="60"/>
        <v>0</v>
      </c>
      <c r="M789" s="154">
        <f t="shared" si="61"/>
        <v>0</v>
      </c>
      <c r="N789" s="155">
        <f>+IF(OR($Q789=Parametres!$G$2,$Q789=Parametres!$G$3),I789,C789)</f>
        <v>0</v>
      </c>
      <c r="O789" s="1122">
        <f>+IF(OR($Q789=Parametres!$G$2,$Q789=Parametres!$G$3),J789,D789)</f>
        <v>0</v>
      </c>
      <c r="P789" s="155">
        <f>+IF(OR($Q789=Parametres!$G$2,$Q789=Parametres!$G$3),K789,E789)</f>
        <v>0</v>
      </c>
      <c r="Q789" s="154">
        <f t="shared" si="62"/>
        <v>0</v>
      </c>
      <c r="R789" s="153">
        <f t="shared" si="63"/>
        <v>0</v>
      </c>
      <c r="S789" s="154">
        <f t="shared" si="64"/>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hidden="1" customHeight="1">
      <c r="A790" s="157"/>
      <c r="B790" s="158"/>
      <c r="C790" s="159"/>
      <c r="D790" s="157"/>
      <c r="E790" s="157"/>
      <c r="F790" s="157"/>
      <c r="G790" s="157"/>
      <c r="H790" s="157"/>
      <c r="I790" s="157"/>
      <c r="J790" s="157"/>
      <c r="K790" s="157"/>
      <c r="L790" s="153">
        <f t="shared" si="60"/>
        <v>0</v>
      </c>
      <c r="M790" s="154">
        <f t="shared" si="61"/>
        <v>0</v>
      </c>
      <c r="N790" s="155">
        <f>+IF(OR($Q790=Parametres!$G$2,$Q790=Parametres!$G$3),I790,C790)</f>
        <v>0</v>
      </c>
      <c r="O790" s="1122">
        <f>+IF(OR($Q790=Parametres!$G$2,$Q790=Parametres!$G$3),J790,D790)</f>
        <v>0</v>
      </c>
      <c r="P790" s="155">
        <f>+IF(OR($Q790=Parametres!$G$2,$Q790=Parametres!$G$3),K790,E790)</f>
        <v>0</v>
      </c>
      <c r="Q790" s="154">
        <f t="shared" si="62"/>
        <v>0</v>
      </c>
      <c r="R790" s="153">
        <f t="shared" si="63"/>
        <v>0</v>
      </c>
      <c r="S790" s="154">
        <f t="shared" si="64"/>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hidden="1" customHeight="1">
      <c r="A791" s="157"/>
      <c r="B791" s="158"/>
      <c r="C791" s="159"/>
      <c r="D791" s="157"/>
      <c r="E791" s="157"/>
      <c r="F791" s="157"/>
      <c r="G791" s="157"/>
      <c r="H791" s="157"/>
      <c r="I791" s="157"/>
      <c r="J791" s="157"/>
      <c r="K791" s="157"/>
      <c r="L791" s="153">
        <f t="shared" si="60"/>
        <v>0</v>
      </c>
      <c r="M791" s="154">
        <f t="shared" si="61"/>
        <v>0</v>
      </c>
      <c r="N791" s="155">
        <f>+IF(OR($Q791=Parametres!$G$2,$Q791=Parametres!$G$3),I791,C791)</f>
        <v>0</v>
      </c>
      <c r="O791" s="1122">
        <f>+IF(OR($Q791=Parametres!$G$2,$Q791=Parametres!$G$3),J791,D791)</f>
        <v>0</v>
      </c>
      <c r="P791" s="155">
        <f>+IF(OR($Q791=Parametres!$G$2,$Q791=Parametres!$G$3),K791,E791)</f>
        <v>0</v>
      </c>
      <c r="Q791" s="154">
        <f t="shared" si="62"/>
        <v>0</v>
      </c>
      <c r="R791" s="153">
        <f t="shared" si="63"/>
        <v>0</v>
      </c>
      <c r="S791" s="154">
        <f t="shared" si="64"/>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hidden="1" customHeight="1">
      <c r="A792" s="157"/>
      <c r="B792" s="158"/>
      <c r="C792" s="159"/>
      <c r="D792" s="157"/>
      <c r="E792" s="157"/>
      <c r="F792" s="157"/>
      <c r="G792" s="157"/>
      <c r="H792" s="157"/>
      <c r="I792" s="157"/>
      <c r="J792" s="157"/>
      <c r="K792" s="157"/>
      <c r="L792" s="153">
        <f t="shared" si="60"/>
        <v>0</v>
      </c>
      <c r="M792" s="154">
        <f t="shared" si="61"/>
        <v>0</v>
      </c>
      <c r="N792" s="155">
        <f>+IF(OR($Q792=Parametres!$G$2,$Q792=Parametres!$G$3),I792,C792)</f>
        <v>0</v>
      </c>
      <c r="O792" s="1122">
        <f>+IF(OR($Q792=Parametres!$G$2,$Q792=Parametres!$G$3),J792,D792)</f>
        <v>0</v>
      </c>
      <c r="P792" s="155">
        <f>+IF(OR($Q792=Parametres!$G$2,$Q792=Parametres!$G$3),K792,E792)</f>
        <v>0</v>
      </c>
      <c r="Q792" s="154">
        <f t="shared" si="62"/>
        <v>0</v>
      </c>
      <c r="R792" s="153">
        <f t="shared" si="63"/>
        <v>0</v>
      </c>
      <c r="S792" s="154">
        <f t="shared" si="64"/>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hidden="1" customHeight="1">
      <c r="A793" s="157"/>
      <c r="B793" s="158"/>
      <c r="C793" s="159"/>
      <c r="D793" s="157"/>
      <c r="E793" s="157"/>
      <c r="F793" s="157"/>
      <c r="G793" s="157"/>
      <c r="H793" s="157"/>
      <c r="I793" s="157"/>
      <c r="J793" s="157"/>
      <c r="K793" s="157"/>
      <c r="L793" s="153">
        <f t="shared" si="60"/>
        <v>0</v>
      </c>
      <c r="M793" s="154">
        <f t="shared" si="61"/>
        <v>0</v>
      </c>
      <c r="N793" s="155">
        <f>+IF(OR($Q793=Parametres!$G$2,$Q793=Parametres!$G$3),I793,C793)</f>
        <v>0</v>
      </c>
      <c r="O793" s="1122">
        <f>+IF(OR($Q793=Parametres!$G$2,$Q793=Parametres!$G$3),J793,D793)</f>
        <v>0</v>
      </c>
      <c r="P793" s="155">
        <f>+IF(OR($Q793=Parametres!$G$2,$Q793=Parametres!$G$3),K793,E793)</f>
        <v>0</v>
      </c>
      <c r="Q793" s="154">
        <f t="shared" si="62"/>
        <v>0</v>
      </c>
      <c r="R793" s="153">
        <f t="shared" si="63"/>
        <v>0</v>
      </c>
      <c r="S793" s="154">
        <f t="shared" si="64"/>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hidden="1" customHeight="1">
      <c r="A794" s="157"/>
      <c r="B794" s="158"/>
      <c r="C794" s="159"/>
      <c r="D794" s="157"/>
      <c r="E794" s="157"/>
      <c r="F794" s="157"/>
      <c r="G794" s="157"/>
      <c r="H794" s="157"/>
      <c r="I794" s="157"/>
      <c r="J794" s="157"/>
      <c r="K794" s="157"/>
      <c r="L794" s="153">
        <f t="shared" si="60"/>
        <v>0</v>
      </c>
      <c r="M794" s="154">
        <f t="shared" si="61"/>
        <v>0</v>
      </c>
      <c r="N794" s="155">
        <f>+IF(OR($Q794=Parametres!$G$2,$Q794=Parametres!$G$3),I794,C794)</f>
        <v>0</v>
      </c>
      <c r="O794" s="1122">
        <f>+IF(OR($Q794=Parametres!$G$2,$Q794=Parametres!$G$3),J794,D794)</f>
        <v>0</v>
      </c>
      <c r="P794" s="155">
        <f>+IF(OR($Q794=Parametres!$G$2,$Q794=Parametres!$G$3),K794,E794)</f>
        <v>0</v>
      </c>
      <c r="Q794" s="154">
        <f t="shared" si="62"/>
        <v>0</v>
      </c>
      <c r="R794" s="153">
        <f t="shared" si="63"/>
        <v>0</v>
      </c>
      <c r="S794" s="154">
        <f t="shared" si="64"/>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hidden="1" customHeight="1">
      <c r="A795" s="157"/>
      <c r="B795" s="158"/>
      <c r="C795" s="159"/>
      <c r="D795" s="157"/>
      <c r="E795" s="157"/>
      <c r="F795" s="157"/>
      <c r="G795" s="157"/>
      <c r="H795" s="157"/>
      <c r="I795" s="157"/>
      <c r="J795" s="157"/>
      <c r="K795" s="157"/>
      <c r="L795" s="153">
        <f t="shared" si="60"/>
        <v>0</v>
      </c>
      <c r="M795" s="154">
        <f t="shared" si="61"/>
        <v>0</v>
      </c>
      <c r="N795" s="155">
        <f>+IF(OR($Q795=Parametres!$G$2,$Q795=Parametres!$G$3),I795,C795)</f>
        <v>0</v>
      </c>
      <c r="O795" s="1122">
        <f>+IF(OR($Q795=Parametres!$G$2,$Q795=Parametres!$G$3),J795,D795)</f>
        <v>0</v>
      </c>
      <c r="P795" s="155">
        <f>+IF(OR($Q795=Parametres!$G$2,$Q795=Parametres!$G$3),K795,E795)</f>
        <v>0</v>
      </c>
      <c r="Q795" s="154">
        <f t="shared" si="62"/>
        <v>0</v>
      </c>
      <c r="R795" s="153">
        <f t="shared" si="63"/>
        <v>0</v>
      </c>
      <c r="S795" s="154">
        <f t="shared" si="64"/>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hidden="1" customHeight="1">
      <c r="A796" s="157"/>
      <c r="B796" s="158"/>
      <c r="C796" s="159"/>
      <c r="D796" s="157"/>
      <c r="E796" s="157"/>
      <c r="F796" s="157"/>
      <c r="G796" s="157"/>
      <c r="H796" s="157"/>
      <c r="I796" s="157"/>
      <c r="J796" s="157"/>
      <c r="K796" s="157"/>
      <c r="L796" s="153">
        <f t="shared" si="60"/>
        <v>0</v>
      </c>
      <c r="M796" s="154">
        <f t="shared" si="61"/>
        <v>0</v>
      </c>
      <c r="N796" s="155">
        <f>+IF(OR($Q796=Parametres!$G$2,$Q796=Parametres!$G$3),I796,C796)</f>
        <v>0</v>
      </c>
      <c r="O796" s="1122">
        <f>+IF(OR($Q796=Parametres!$G$2,$Q796=Parametres!$G$3),J796,D796)</f>
        <v>0</v>
      </c>
      <c r="P796" s="155">
        <f>+IF(OR($Q796=Parametres!$G$2,$Q796=Parametres!$G$3),K796,E796)</f>
        <v>0</v>
      </c>
      <c r="Q796" s="154">
        <f t="shared" si="62"/>
        <v>0</v>
      </c>
      <c r="R796" s="153">
        <f t="shared" si="63"/>
        <v>0</v>
      </c>
      <c r="S796" s="154">
        <f t="shared" si="64"/>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hidden="1" customHeight="1">
      <c r="A797" s="157"/>
      <c r="B797" s="158"/>
      <c r="C797" s="159"/>
      <c r="D797" s="157"/>
      <c r="E797" s="157"/>
      <c r="F797" s="157"/>
      <c r="G797" s="157"/>
      <c r="H797" s="157"/>
      <c r="I797" s="157"/>
      <c r="J797" s="157"/>
      <c r="K797" s="157"/>
      <c r="L797" s="153">
        <f t="shared" si="60"/>
        <v>0</v>
      </c>
      <c r="M797" s="154">
        <f t="shared" si="61"/>
        <v>0</v>
      </c>
      <c r="N797" s="155">
        <f>+IF(OR($Q797=Parametres!$G$2,$Q797=Parametres!$G$3),I797,C797)</f>
        <v>0</v>
      </c>
      <c r="O797" s="1122">
        <f>+IF(OR($Q797=Parametres!$G$2,$Q797=Parametres!$G$3),J797,D797)</f>
        <v>0</v>
      </c>
      <c r="P797" s="155">
        <f>+IF(OR($Q797=Parametres!$G$2,$Q797=Parametres!$G$3),K797,E797)</f>
        <v>0</v>
      </c>
      <c r="Q797" s="154">
        <f t="shared" si="62"/>
        <v>0</v>
      </c>
      <c r="R797" s="153">
        <f t="shared" si="63"/>
        <v>0</v>
      </c>
      <c r="S797" s="154">
        <f t="shared" si="64"/>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hidden="1" customHeight="1">
      <c r="A798" s="157"/>
      <c r="B798" s="158"/>
      <c r="C798" s="159"/>
      <c r="D798" s="157"/>
      <c r="E798" s="157"/>
      <c r="F798" s="157"/>
      <c r="G798" s="157"/>
      <c r="H798" s="157"/>
      <c r="I798" s="157"/>
      <c r="J798" s="157"/>
      <c r="K798" s="157"/>
      <c r="L798" s="153">
        <f t="shared" si="60"/>
        <v>0</v>
      </c>
      <c r="M798" s="154">
        <f t="shared" si="61"/>
        <v>0</v>
      </c>
      <c r="N798" s="155">
        <f>+IF(OR($Q798=Parametres!$G$2,$Q798=Parametres!$G$3),I798,C798)</f>
        <v>0</v>
      </c>
      <c r="O798" s="1122">
        <f>+IF(OR($Q798=Parametres!$G$2,$Q798=Parametres!$G$3),J798,D798)</f>
        <v>0</v>
      </c>
      <c r="P798" s="155">
        <f>+IF(OR($Q798=Parametres!$G$2,$Q798=Parametres!$G$3),K798,E798)</f>
        <v>0</v>
      </c>
      <c r="Q798" s="154">
        <f t="shared" si="62"/>
        <v>0</v>
      </c>
      <c r="R798" s="153">
        <f t="shared" si="63"/>
        <v>0</v>
      </c>
      <c r="S798" s="154">
        <f t="shared" si="64"/>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hidden="1" customHeight="1">
      <c r="A799" s="157"/>
      <c r="B799" s="158"/>
      <c r="C799" s="159"/>
      <c r="D799" s="157"/>
      <c r="E799" s="157"/>
      <c r="F799" s="157"/>
      <c r="G799" s="157"/>
      <c r="H799" s="157"/>
      <c r="I799" s="157"/>
      <c r="J799" s="157"/>
      <c r="K799" s="157"/>
      <c r="L799" s="153">
        <f t="shared" si="60"/>
        <v>0</v>
      </c>
      <c r="M799" s="154">
        <f t="shared" si="61"/>
        <v>0</v>
      </c>
      <c r="N799" s="155">
        <f>+IF(OR($Q799=Parametres!$G$2,$Q799=Parametres!$G$3),I799,C799)</f>
        <v>0</v>
      </c>
      <c r="O799" s="1122">
        <f>+IF(OR($Q799=Parametres!$G$2,$Q799=Parametres!$G$3),J799,D799)</f>
        <v>0</v>
      </c>
      <c r="P799" s="155">
        <f>+IF(OR($Q799=Parametres!$G$2,$Q799=Parametres!$G$3),K799,E799)</f>
        <v>0</v>
      </c>
      <c r="Q799" s="154">
        <f t="shared" si="62"/>
        <v>0</v>
      </c>
      <c r="R799" s="153">
        <f t="shared" si="63"/>
        <v>0</v>
      </c>
      <c r="S799" s="154">
        <f t="shared" si="64"/>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hidden="1" customHeight="1">
      <c r="A800" s="157"/>
      <c r="B800" s="158"/>
      <c r="C800" s="159"/>
      <c r="D800" s="157"/>
      <c r="E800" s="157"/>
      <c r="F800" s="157"/>
      <c r="G800" s="157"/>
      <c r="H800" s="157"/>
      <c r="I800" s="157"/>
      <c r="J800" s="157"/>
      <c r="K800" s="157"/>
      <c r="L800" s="153">
        <f t="shared" si="60"/>
        <v>0</v>
      </c>
      <c r="M800" s="154">
        <f t="shared" si="61"/>
        <v>0</v>
      </c>
      <c r="N800" s="155">
        <f>+IF(OR($Q800=Parametres!$G$2,$Q800=Parametres!$G$3),I800,C800)</f>
        <v>0</v>
      </c>
      <c r="O800" s="1122">
        <f>+IF(OR($Q800=Parametres!$G$2,$Q800=Parametres!$G$3),J800,D800)</f>
        <v>0</v>
      </c>
      <c r="P800" s="155">
        <f>+IF(OR($Q800=Parametres!$G$2,$Q800=Parametres!$G$3),K800,E800)</f>
        <v>0</v>
      </c>
      <c r="Q800" s="154">
        <f t="shared" si="62"/>
        <v>0</v>
      </c>
      <c r="R800" s="153">
        <f t="shared" si="63"/>
        <v>0</v>
      </c>
      <c r="S800" s="154">
        <f t="shared" si="64"/>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hidden="1" customHeight="1">
      <c r="A801" s="157"/>
      <c r="B801" s="158"/>
      <c r="C801" s="159"/>
      <c r="D801" s="157"/>
      <c r="E801" s="157"/>
      <c r="F801" s="157"/>
      <c r="G801" s="157"/>
      <c r="H801" s="157"/>
      <c r="I801" s="157"/>
      <c r="J801" s="157"/>
      <c r="K801" s="157"/>
      <c r="L801" s="153">
        <f t="shared" si="60"/>
        <v>0</v>
      </c>
      <c r="M801" s="154">
        <f t="shared" si="61"/>
        <v>0</v>
      </c>
      <c r="N801" s="155">
        <f>+IF(OR($Q801=Parametres!$G$2,$Q801=Parametres!$G$3),I801,C801)</f>
        <v>0</v>
      </c>
      <c r="O801" s="1122">
        <f>+IF(OR($Q801=Parametres!$G$2,$Q801=Parametres!$G$3),J801,D801)</f>
        <v>0</v>
      </c>
      <c r="P801" s="155">
        <f>+IF(OR($Q801=Parametres!$G$2,$Q801=Parametres!$G$3),K801,E801)</f>
        <v>0</v>
      </c>
      <c r="Q801" s="154">
        <f t="shared" si="62"/>
        <v>0</v>
      </c>
      <c r="R801" s="153">
        <f t="shared" si="63"/>
        <v>0</v>
      </c>
      <c r="S801" s="154">
        <f t="shared" si="64"/>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hidden="1" customHeight="1">
      <c r="A802" s="157"/>
      <c r="B802" s="158"/>
      <c r="C802" s="159"/>
      <c r="D802" s="157"/>
      <c r="E802" s="157"/>
      <c r="F802" s="157"/>
      <c r="G802" s="157"/>
      <c r="H802" s="157"/>
      <c r="I802" s="157"/>
      <c r="J802" s="157"/>
      <c r="K802" s="157"/>
      <c r="L802" s="153">
        <f t="shared" si="60"/>
        <v>0</v>
      </c>
      <c r="M802" s="154">
        <f t="shared" si="61"/>
        <v>0</v>
      </c>
      <c r="N802" s="155">
        <f>+IF(OR($Q802=Parametres!$G$2,$Q802=Parametres!$G$3),I802,C802)</f>
        <v>0</v>
      </c>
      <c r="O802" s="1122">
        <f>+IF(OR($Q802=Parametres!$G$2,$Q802=Parametres!$G$3),J802,D802)</f>
        <v>0</v>
      </c>
      <c r="P802" s="155">
        <f>+IF(OR($Q802=Parametres!$G$2,$Q802=Parametres!$G$3),K802,E802)</f>
        <v>0</v>
      </c>
      <c r="Q802" s="154">
        <f t="shared" si="62"/>
        <v>0</v>
      </c>
      <c r="R802" s="153">
        <f t="shared" si="63"/>
        <v>0</v>
      </c>
      <c r="S802" s="154">
        <f t="shared" si="64"/>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hidden="1" customHeight="1">
      <c r="A803" s="157"/>
      <c r="B803" s="158"/>
      <c r="C803" s="159"/>
      <c r="D803" s="157"/>
      <c r="E803" s="157"/>
      <c r="F803" s="157"/>
      <c r="G803" s="157"/>
      <c r="H803" s="157"/>
      <c r="I803" s="157"/>
      <c r="J803" s="157"/>
      <c r="K803" s="157"/>
      <c r="L803" s="153">
        <f t="shared" si="60"/>
        <v>0</v>
      </c>
      <c r="M803" s="154">
        <f t="shared" si="61"/>
        <v>0</v>
      </c>
      <c r="N803" s="155">
        <f>+IF(OR($Q803=Parametres!$G$2,$Q803=Parametres!$G$3),I803,C803)</f>
        <v>0</v>
      </c>
      <c r="O803" s="1122">
        <f>+IF(OR($Q803=Parametres!$G$2,$Q803=Parametres!$G$3),J803,D803)</f>
        <v>0</v>
      </c>
      <c r="P803" s="155">
        <f>+IF(OR($Q803=Parametres!$G$2,$Q803=Parametres!$G$3),K803,E803)</f>
        <v>0</v>
      </c>
      <c r="Q803" s="154">
        <f t="shared" si="62"/>
        <v>0</v>
      </c>
      <c r="R803" s="153">
        <f t="shared" si="63"/>
        <v>0</v>
      </c>
      <c r="S803" s="154">
        <f t="shared" si="64"/>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hidden="1" customHeight="1">
      <c r="A804" s="157"/>
      <c r="B804" s="158"/>
      <c r="C804" s="159"/>
      <c r="D804" s="157"/>
      <c r="E804" s="157"/>
      <c r="F804" s="157"/>
      <c r="G804" s="157"/>
      <c r="H804" s="157"/>
      <c r="I804" s="157"/>
      <c r="J804" s="157"/>
      <c r="K804" s="157"/>
      <c r="L804" s="153">
        <f t="shared" si="60"/>
        <v>0</v>
      </c>
      <c r="M804" s="154">
        <f t="shared" si="61"/>
        <v>0</v>
      </c>
      <c r="N804" s="155">
        <f>+IF(OR($Q804=Parametres!$G$2,$Q804=Parametres!$G$3),I804,C804)</f>
        <v>0</v>
      </c>
      <c r="O804" s="1122">
        <f>+IF(OR($Q804=Parametres!$G$2,$Q804=Parametres!$G$3),J804,D804)</f>
        <v>0</v>
      </c>
      <c r="P804" s="155">
        <f>+IF(OR($Q804=Parametres!$G$2,$Q804=Parametres!$G$3),K804,E804)</f>
        <v>0</v>
      </c>
      <c r="Q804" s="154">
        <f t="shared" si="62"/>
        <v>0</v>
      </c>
      <c r="R804" s="153">
        <f t="shared" si="63"/>
        <v>0</v>
      </c>
      <c r="S804" s="154">
        <f t="shared" si="64"/>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hidden="1" customHeight="1">
      <c r="A805" s="157"/>
      <c r="B805" s="158"/>
      <c r="C805" s="159"/>
      <c r="D805" s="157"/>
      <c r="E805" s="157"/>
      <c r="F805" s="157"/>
      <c r="G805" s="157"/>
      <c r="H805" s="157"/>
      <c r="I805" s="157"/>
      <c r="J805" s="157"/>
      <c r="K805" s="157"/>
      <c r="L805" s="153">
        <f t="shared" si="60"/>
        <v>0</v>
      </c>
      <c r="M805" s="154">
        <f t="shared" si="61"/>
        <v>0</v>
      </c>
      <c r="N805" s="155">
        <f>+IF(OR($Q805=Parametres!$G$2,$Q805=Parametres!$G$3),I805,C805)</f>
        <v>0</v>
      </c>
      <c r="O805" s="1122">
        <f>+IF(OR($Q805=Parametres!$G$2,$Q805=Parametres!$G$3),J805,D805)</f>
        <v>0</v>
      </c>
      <c r="P805" s="155">
        <f>+IF(OR($Q805=Parametres!$G$2,$Q805=Parametres!$G$3),K805,E805)</f>
        <v>0</v>
      </c>
      <c r="Q805" s="154">
        <f t="shared" si="62"/>
        <v>0</v>
      </c>
      <c r="R805" s="153">
        <f t="shared" si="63"/>
        <v>0</v>
      </c>
      <c r="S805" s="154">
        <f t="shared" si="64"/>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hidden="1" customHeight="1">
      <c r="A806" s="157"/>
      <c r="B806" s="158"/>
      <c r="C806" s="159"/>
      <c r="D806" s="157"/>
      <c r="E806" s="157"/>
      <c r="F806" s="157"/>
      <c r="G806" s="157"/>
      <c r="H806" s="157"/>
      <c r="I806" s="157"/>
      <c r="J806" s="157"/>
      <c r="K806" s="157"/>
      <c r="L806" s="153">
        <f t="shared" si="60"/>
        <v>0</v>
      </c>
      <c r="M806" s="154">
        <f t="shared" si="61"/>
        <v>0</v>
      </c>
      <c r="N806" s="155">
        <f>+IF(OR($Q806=Parametres!$G$2,$Q806=Parametres!$G$3),I806,C806)</f>
        <v>0</v>
      </c>
      <c r="O806" s="1122">
        <f>+IF(OR($Q806=Parametres!$G$2,$Q806=Parametres!$G$3),J806,D806)</f>
        <v>0</v>
      </c>
      <c r="P806" s="155">
        <f>+IF(OR($Q806=Parametres!$G$2,$Q806=Parametres!$G$3),K806,E806)</f>
        <v>0</v>
      </c>
      <c r="Q806" s="154">
        <f t="shared" si="62"/>
        <v>0</v>
      </c>
      <c r="R806" s="153">
        <f t="shared" si="63"/>
        <v>0</v>
      </c>
      <c r="S806" s="154">
        <f t="shared" si="64"/>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hidden="1" customHeight="1">
      <c r="A807" s="157"/>
      <c r="B807" s="158"/>
      <c r="C807" s="159"/>
      <c r="D807" s="157"/>
      <c r="E807" s="157"/>
      <c r="F807" s="157"/>
      <c r="G807" s="157"/>
      <c r="H807" s="157"/>
      <c r="I807" s="157"/>
      <c r="J807" s="157"/>
      <c r="K807" s="157"/>
      <c r="L807" s="153">
        <f t="shared" si="60"/>
        <v>0</v>
      </c>
      <c r="M807" s="154">
        <f t="shared" si="61"/>
        <v>0</v>
      </c>
      <c r="N807" s="155">
        <f>+IF(OR($Q807=Parametres!$G$2,$Q807=Parametres!$G$3),I807,C807)</f>
        <v>0</v>
      </c>
      <c r="O807" s="1122">
        <f>+IF(OR($Q807=Parametres!$G$2,$Q807=Parametres!$G$3),J807,D807)</f>
        <v>0</v>
      </c>
      <c r="P807" s="155">
        <f>+IF(OR($Q807=Parametres!$G$2,$Q807=Parametres!$G$3),K807,E807)</f>
        <v>0</v>
      </c>
      <c r="Q807" s="154">
        <f t="shared" si="62"/>
        <v>0</v>
      </c>
      <c r="R807" s="153">
        <f t="shared" si="63"/>
        <v>0</v>
      </c>
      <c r="S807" s="154">
        <f t="shared" si="64"/>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hidden="1" customHeight="1">
      <c r="A808" s="157"/>
      <c r="B808" s="158"/>
      <c r="C808" s="159"/>
      <c r="D808" s="157"/>
      <c r="E808" s="157"/>
      <c r="F808" s="157"/>
      <c r="G808" s="157"/>
      <c r="H808" s="157"/>
      <c r="I808" s="157"/>
      <c r="J808" s="157"/>
      <c r="K808" s="157"/>
      <c r="L808" s="153">
        <f t="shared" si="60"/>
        <v>0</v>
      </c>
      <c r="M808" s="154">
        <f t="shared" si="61"/>
        <v>0</v>
      </c>
      <c r="N808" s="155">
        <f>+IF(OR($Q808=Parametres!$G$2,$Q808=Parametres!$G$3),I808,C808)</f>
        <v>0</v>
      </c>
      <c r="O808" s="1122">
        <f>+IF(OR($Q808=Parametres!$G$2,$Q808=Parametres!$G$3),J808,D808)</f>
        <v>0</v>
      </c>
      <c r="P808" s="155">
        <f>+IF(OR($Q808=Parametres!$G$2,$Q808=Parametres!$G$3),K808,E808)</f>
        <v>0</v>
      </c>
      <c r="Q808" s="154">
        <f t="shared" si="62"/>
        <v>0</v>
      </c>
      <c r="R808" s="153">
        <f t="shared" si="63"/>
        <v>0</v>
      </c>
      <c r="S808" s="154">
        <f t="shared" si="64"/>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hidden="1" customHeight="1">
      <c r="A809" s="157"/>
      <c r="B809" s="158"/>
      <c r="C809" s="159"/>
      <c r="D809" s="157"/>
      <c r="E809" s="157"/>
      <c r="F809" s="157"/>
      <c r="G809" s="157"/>
      <c r="H809" s="157"/>
      <c r="I809" s="157"/>
      <c r="J809" s="157"/>
      <c r="K809" s="157"/>
      <c r="L809" s="153">
        <f t="shared" si="60"/>
        <v>0</v>
      </c>
      <c r="M809" s="154">
        <f t="shared" si="61"/>
        <v>0</v>
      </c>
      <c r="N809" s="155">
        <f>+IF(OR($Q809=Parametres!$G$2,$Q809=Parametres!$G$3),I809,C809)</f>
        <v>0</v>
      </c>
      <c r="O809" s="1122">
        <f>+IF(OR($Q809=Parametres!$G$2,$Q809=Parametres!$G$3),J809,D809)</f>
        <v>0</v>
      </c>
      <c r="P809" s="155">
        <f>+IF(OR($Q809=Parametres!$G$2,$Q809=Parametres!$G$3),K809,E809)</f>
        <v>0</v>
      </c>
      <c r="Q809" s="154">
        <f t="shared" si="62"/>
        <v>0</v>
      </c>
      <c r="R809" s="153">
        <f t="shared" si="63"/>
        <v>0</v>
      </c>
      <c r="S809" s="154">
        <f t="shared" si="64"/>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hidden="1" customHeight="1">
      <c r="A810" s="157"/>
      <c r="B810" s="158"/>
      <c r="C810" s="159"/>
      <c r="D810" s="157"/>
      <c r="E810" s="157"/>
      <c r="F810" s="157"/>
      <c r="G810" s="157"/>
      <c r="H810" s="157"/>
      <c r="I810" s="157"/>
      <c r="J810" s="157"/>
      <c r="K810" s="157"/>
      <c r="L810" s="153">
        <f t="shared" si="60"/>
        <v>0</v>
      </c>
      <c r="M810" s="154">
        <f t="shared" si="61"/>
        <v>0</v>
      </c>
      <c r="N810" s="155">
        <f>+IF(OR($Q810=Parametres!$G$2,$Q810=Parametres!$G$3),I810,C810)</f>
        <v>0</v>
      </c>
      <c r="O810" s="1122">
        <f>+IF(OR($Q810=Parametres!$G$2,$Q810=Parametres!$G$3),J810,D810)</f>
        <v>0</v>
      </c>
      <c r="P810" s="155">
        <f>+IF(OR($Q810=Parametres!$G$2,$Q810=Parametres!$G$3),K810,E810)</f>
        <v>0</v>
      </c>
      <c r="Q810" s="154">
        <f t="shared" si="62"/>
        <v>0</v>
      </c>
      <c r="R810" s="153">
        <f t="shared" si="63"/>
        <v>0</v>
      </c>
      <c r="S810" s="154">
        <f t="shared" si="64"/>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hidden="1" customHeight="1">
      <c r="A811" s="157"/>
      <c r="B811" s="158"/>
      <c r="C811" s="159"/>
      <c r="D811" s="157"/>
      <c r="E811" s="157"/>
      <c r="F811" s="157"/>
      <c r="G811" s="157"/>
      <c r="H811" s="157"/>
      <c r="I811" s="157"/>
      <c r="J811" s="157"/>
      <c r="K811" s="157"/>
      <c r="L811" s="153">
        <f t="shared" si="60"/>
        <v>0</v>
      </c>
      <c r="M811" s="154">
        <f t="shared" si="61"/>
        <v>0</v>
      </c>
      <c r="N811" s="155">
        <f>+IF(OR($Q811=Parametres!$G$2,$Q811=Parametres!$G$3),I811,C811)</f>
        <v>0</v>
      </c>
      <c r="O811" s="1122">
        <f>+IF(OR($Q811=Parametres!$G$2,$Q811=Parametres!$G$3),J811,D811)</f>
        <v>0</v>
      </c>
      <c r="P811" s="155">
        <f>+IF(OR($Q811=Parametres!$G$2,$Q811=Parametres!$G$3),K811,E811)</f>
        <v>0</v>
      </c>
      <c r="Q811" s="154">
        <f t="shared" si="62"/>
        <v>0</v>
      </c>
      <c r="R811" s="153">
        <f t="shared" si="63"/>
        <v>0</v>
      </c>
      <c r="S811" s="154">
        <f t="shared" si="64"/>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hidden="1" customHeight="1">
      <c r="A812" s="157"/>
      <c r="B812" s="158"/>
      <c r="C812" s="159"/>
      <c r="D812" s="157"/>
      <c r="E812" s="157"/>
      <c r="F812" s="157"/>
      <c r="G812" s="157"/>
      <c r="H812" s="157"/>
      <c r="I812" s="157"/>
      <c r="J812" s="157"/>
      <c r="K812" s="157"/>
      <c r="L812" s="153">
        <f t="shared" si="60"/>
        <v>0</v>
      </c>
      <c r="M812" s="154">
        <f t="shared" si="61"/>
        <v>0</v>
      </c>
      <c r="N812" s="155">
        <f>+IF(OR($Q812=Parametres!$G$2,$Q812=Parametres!$G$3),I812,C812)</f>
        <v>0</v>
      </c>
      <c r="O812" s="1122">
        <f>+IF(OR($Q812=Parametres!$G$2,$Q812=Parametres!$G$3),J812,D812)</f>
        <v>0</v>
      </c>
      <c r="P812" s="155">
        <f>+IF(OR($Q812=Parametres!$G$2,$Q812=Parametres!$G$3),K812,E812)</f>
        <v>0</v>
      </c>
      <c r="Q812" s="154">
        <f t="shared" si="62"/>
        <v>0</v>
      </c>
      <c r="R812" s="153">
        <f t="shared" si="63"/>
        <v>0</v>
      </c>
      <c r="S812" s="154">
        <f t="shared" si="64"/>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hidden="1" customHeight="1">
      <c r="A813" s="157"/>
      <c r="B813" s="158"/>
      <c r="C813" s="159"/>
      <c r="D813" s="157"/>
      <c r="E813" s="157"/>
      <c r="F813" s="157"/>
      <c r="G813" s="157"/>
      <c r="H813" s="157"/>
      <c r="I813" s="157"/>
      <c r="J813" s="157"/>
      <c r="K813" s="157"/>
      <c r="L813" s="153">
        <f t="shared" si="60"/>
        <v>0</v>
      </c>
      <c r="M813" s="154">
        <f t="shared" si="61"/>
        <v>0</v>
      </c>
      <c r="N813" s="155">
        <f>+IF(OR($Q813=Parametres!$G$2,$Q813=Parametres!$G$3),I813,C813)</f>
        <v>0</v>
      </c>
      <c r="O813" s="1122">
        <f>+IF(OR($Q813=Parametres!$G$2,$Q813=Parametres!$G$3),J813,D813)</f>
        <v>0</v>
      </c>
      <c r="P813" s="155">
        <f>+IF(OR($Q813=Parametres!$G$2,$Q813=Parametres!$G$3),K813,E813)</f>
        <v>0</v>
      </c>
      <c r="Q813" s="154">
        <f t="shared" si="62"/>
        <v>0</v>
      </c>
      <c r="R813" s="153">
        <f t="shared" si="63"/>
        <v>0</v>
      </c>
      <c r="S813" s="154">
        <f t="shared" si="64"/>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hidden="1" customHeight="1">
      <c r="A814" s="157"/>
      <c r="B814" s="158"/>
      <c r="C814" s="159"/>
      <c r="D814" s="157"/>
      <c r="E814" s="157"/>
      <c r="F814" s="157"/>
      <c r="G814" s="157"/>
      <c r="H814" s="157"/>
      <c r="I814" s="157"/>
      <c r="J814" s="157"/>
      <c r="K814" s="157"/>
      <c r="L814" s="153">
        <f t="shared" si="60"/>
        <v>0</v>
      </c>
      <c r="M814" s="154">
        <f t="shared" si="61"/>
        <v>0</v>
      </c>
      <c r="N814" s="155">
        <f>+IF(OR($Q814=Parametres!$G$2,$Q814=Parametres!$G$3),I814,C814)</f>
        <v>0</v>
      </c>
      <c r="O814" s="1122">
        <f>+IF(OR($Q814=Parametres!$G$2,$Q814=Parametres!$G$3),J814,D814)</f>
        <v>0</v>
      </c>
      <c r="P814" s="155">
        <f>+IF(OR($Q814=Parametres!$G$2,$Q814=Parametres!$G$3),K814,E814)</f>
        <v>0</v>
      </c>
      <c r="Q814" s="154">
        <f t="shared" si="62"/>
        <v>0</v>
      </c>
      <c r="R814" s="153">
        <f t="shared" si="63"/>
        <v>0</v>
      </c>
      <c r="S814" s="154">
        <f t="shared" si="64"/>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hidden="1" customHeight="1">
      <c r="A815" s="157"/>
      <c r="B815" s="158"/>
      <c r="C815" s="159"/>
      <c r="D815" s="157"/>
      <c r="E815" s="157"/>
      <c r="F815" s="157"/>
      <c r="G815" s="157"/>
      <c r="H815" s="157"/>
      <c r="I815" s="157"/>
      <c r="J815" s="157"/>
      <c r="K815" s="157"/>
      <c r="L815" s="153">
        <f t="shared" si="60"/>
        <v>0</v>
      </c>
      <c r="M815" s="154">
        <f t="shared" si="61"/>
        <v>0</v>
      </c>
      <c r="N815" s="155">
        <f>+IF(OR($Q815=Parametres!$G$2,$Q815=Parametres!$G$3),I815,C815)</f>
        <v>0</v>
      </c>
      <c r="O815" s="1122">
        <f>+IF(OR($Q815=Parametres!$G$2,$Q815=Parametres!$G$3),J815,D815)</f>
        <v>0</v>
      </c>
      <c r="P815" s="155">
        <f>+IF(OR($Q815=Parametres!$G$2,$Q815=Parametres!$G$3),K815,E815)</f>
        <v>0</v>
      </c>
      <c r="Q815" s="154">
        <f t="shared" si="62"/>
        <v>0</v>
      </c>
      <c r="R815" s="153">
        <f t="shared" si="63"/>
        <v>0</v>
      </c>
      <c r="S815" s="154">
        <f t="shared" si="64"/>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hidden="1" customHeight="1">
      <c r="A816" s="157"/>
      <c r="B816" s="158"/>
      <c r="C816" s="159"/>
      <c r="D816" s="157"/>
      <c r="E816" s="157"/>
      <c r="F816" s="157"/>
      <c r="G816" s="157"/>
      <c r="H816" s="157"/>
      <c r="I816" s="157"/>
      <c r="J816" s="157"/>
      <c r="K816" s="157"/>
      <c r="L816" s="153">
        <f t="shared" si="60"/>
        <v>0</v>
      </c>
      <c r="M816" s="154">
        <f t="shared" si="61"/>
        <v>0</v>
      </c>
      <c r="N816" s="155">
        <f>+IF(OR($Q816=Parametres!$G$2,$Q816=Parametres!$G$3),I816,C816)</f>
        <v>0</v>
      </c>
      <c r="O816" s="1122">
        <f>+IF(OR($Q816=Parametres!$G$2,$Q816=Parametres!$G$3),J816,D816)</f>
        <v>0</v>
      </c>
      <c r="P816" s="155">
        <f>+IF(OR($Q816=Parametres!$G$2,$Q816=Parametres!$G$3),K816,E816)</f>
        <v>0</v>
      </c>
      <c r="Q816" s="154">
        <f t="shared" si="62"/>
        <v>0</v>
      </c>
      <c r="R816" s="153">
        <f t="shared" si="63"/>
        <v>0</v>
      </c>
      <c r="S816" s="154">
        <f t="shared" si="64"/>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hidden="1" customHeight="1">
      <c r="A817" s="157"/>
      <c r="B817" s="158"/>
      <c r="C817" s="159"/>
      <c r="D817" s="157"/>
      <c r="E817" s="157"/>
      <c r="F817" s="157"/>
      <c r="G817" s="157"/>
      <c r="H817" s="157"/>
      <c r="I817" s="157"/>
      <c r="J817" s="157"/>
      <c r="K817" s="157"/>
      <c r="L817" s="153">
        <f t="shared" si="60"/>
        <v>0</v>
      </c>
      <c r="M817" s="154">
        <f t="shared" si="61"/>
        <v>0</v>
      </c>
      <c r="N817" s="155">
        <f>+IF(OR($Q817=Parametres!$G$2,$Q817=Parametres!$G$3),I817,C817)</f>
        <v>0</v>
      </c>
      <c r="O817" s="1122">
        <f>+IF(OR($Q817=Parametres!$G$2,$Q817=Parametres!$G$3),J817,D817)</f>
        <v>0</v>
      </c>
      <c r="P817" s="155">
        <f>+IF(OR($Q817=Parametres!$G$2,$Q817=Parametres!$G$3),K817,E817)</f>
        <v>0</v>
      </c>
      <c r="Q817" s="154">
        <f t="shared" si="62"/>
        <v>0</v>
      </c>
      <c r="R817" s="153">
        <f t="shared" si="63"/>
        <v>0</v>
      </c>
      <c r="S817" s="154">
        <f t="shared" si="64"/>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hidden="1" customHeight="1">
      <c r="A818" s="157"/>
      <c r="B818" s="158"/>
      <c r="C818" s="159"/>
      <c r="D818" s="157"/>
      <c r="E818" s="157"/>
      <c r="F818" s="157"/>
      <c r="G818" s="157"/>
      <c r="H818" s="157"/>
      <c r="I818" s="157"/>
      <c r="J818" s="157"/>
      <c r="K818" s="157"/>
      <c r="L818" s="153">
        <f t="shared" si="60"/>
        <v>0</v>
      </c>
      <c r="M818" s="154">
        <f t="shared" si="61"/>
        <v>0</v>
      </c>
      <c r="N818" s="155">
        <f>+IF(OR($Q818=Parametres!$G$2,$Q818=Parametres!$G$3),I818,C818)</f>
        <v>0</v>
      </c>
      <c r="O818" s="1122">
        <f>+IF(OR($Q818=Parametres!$G$2,$Q818=Parametres!$G$3),J818,D818)</f>
        <v>0</v>
      </c>
      <c r="P818" s="155">
        <f>+IF(OR($Q818=Parametres!$G$2,$Q818=Parametres!$G$3),K818,E818)</f>
        <v>0</v>
      </c>
      <c r="Q818" s="154">
        <f t="shared" si="62"/>
        <v>0</v>
      </c>
      <c r="R818" s="153">
        <f t="shared" si="63"/>
        <v>0</v>
      </c>
      <c r="S818" s="154">
        <f t="shared" si="64"/>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hidden="1" customHeight="1">
      <c r="A819" s="157"/>
      <c r="B819" s="158"/>
      <c r="C819" s="159"/>
      <c r="D819" s="157"/>
      <c r="E819" s="157"/>
      <c r="F819" s="157"/>
      <c r="G819" s="157"/>
      <c r="H819" s="157"/>
      <c r="I819" s="157"/>
      <c r="J819" s="157"/>
      <c r="K819" s="157"/>
      <c r="L819" s="153">
        <f t="shared" si="60"/>
        <v>0</v>
      </c>
      <c r="M819" s="154">
        <f t="shared" si="61"/>
        <v>0</v>
      </c>
      <c r="N819" s="155">
        <f>+IF(OR($Q819=Parametres!$G$2,$Q819=Parametres!$G$3),I819,C819)</f>
        <v>0</v>
      </c>
      <c r="O819" s="1122">
        <f>+IF(OR($Q819=Parametres!$G$2,$Q819=Parametres!$G$3),J819,D819)</f>
        <v>0</v>
      </c>
      <c r="P819" s="155">
        <f>+IF(OR($Q819=Parametres!$G$2,$Q819=Parametres!$G$3),K819,E819)</f>
        <v>0</v>
      </c>
      <c r="Q819" s="154">
        <f t="shared" si="62"/>
        <v>0</v>
      </c>
      <c r="R819" s="153">
        <f t="shared" si="63"/>
        <v>0</v>
      </c>
      <c r="S819" s="154">
        <f t="shared" si="64"/>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hidden="1" customHeight="1">
      <c r="A820" s="157"/>
      <c r="B820" s="158"/>
      <c r="C820" s="159"/>
      <c r="D820" s="157"/>
      <c r="E820" s="157"/>
      <c r="F820" s="157"/>
      <c r="G820" s="157"/>
      <c r="H820" s="157"/>
      <c r="I820" s="157"/>
      <c r="J820" s="157"/>
      <c r="K820" s="157"/>
      <c r="L820" s="153">
        <f t="shared" si="60"/>
        <v>0</v>
      </c>
      <c r="M820" s="154">
        <f t="shared" si="61"/>
        <v>0</v>
      </c>
      <c r="N820" s="155">
        <f>+IF(OR($Q820=Parametres!$G$2,$Q820=Parametres!$G$3),I820,C820)</f>
        <v>0</v>
      </c>
      <c r="O820" s="1122">
        <f>+IF(OR($Q820=Parametres!$G$2,$Q820=Parametres!$G$3),J820,D820)</f>
        <v>0</v>
      </c>
      <c r="P820" s="155">
        <f>+IF(OR($Q820=Parametres!$G$2,$Q820=Parametres!$G$3),K820,E820)</f>
        <v>0</v>
      </c>
      <c r="Q820" s="154">
        <f t="shared" si="62"/>
        <v>0</v>
      </c>
      <c r="R820" s="153">
        <f t="shared" si="63"/>
        <v>0</v>
      </c>
      <c r="S820" s="154">
        <f t="shared" si="64"/>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hidden="1" customHeight="1">
      <c r="A821" s="157"/>
      <c r="B821" s="158"/>
      <c r="C821" s="159"/>
      <c r="D821" s="157"/>
      <c r="E821" s="157"/>
      <c r="F821" s="157"/>
      <c r="G821" s="157"/>
      <c r="H821" s="157"/>
      <c r="I821" s="157"/>
      <c r="J821" s="157"/>
      <c r="K821" s="157"/>
      <c r="L821" s="153">
        <f t="shared" si="60"/>
        <v>0</v>
      </c>
      <c r="M821" s="154">
        <f t="shared" si="61"/>
        <v>0</v>
      </c>
      <c r="N821" s="155">
        <f>+IF(OR($Q821=Parametres!$G$2,$Q821=Parametres!$G$3),I821,C821)</f>
        <v>0</v>
      </c>
      <c r="O821" s="1122">
        <f>+IF(OR($Q821=Parametres!$G$2,$Q821=Parametres!$G$3),J821,D821)</f>
        <v>0</v>
      </c>
      <c r="P821" s="155">
        <f>+IF(OR($Q821=Parametres!$G$2,$Q821=Parametres!$G$3),K821,E821)</f>
        <v>0</v>
      </c>
      <c r="Q821" s="154">
        <f t="shared" si="62"/>
        <v>0</v>
      </c>
      <c r="R821" s="153">
        <f t="shared" si="63"/>
        <v>0</v>
      </c>
      <c r="S821" s="154">
        <f t="shared" si="64"/>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hidden="1" customHeight="1">
      <c r="A822" s="157"/>
      <c r="B822" s="158"/>
      <c r="C822" s="159"/>
      <c r="D822" s="157"/>
      <c r="E822" s="157"/>
      <c r="F822" s="157"/>
      <c r="G822" s="157"/>
      <c r="H822" s="157"/>
      <c r="I822" s="157"/>
      <c r="J822" s="157"/>
      <c r="K822" s="157"/>
      <c r="L822" s="153">
        <f t="shared" si="60"/>
        <v>0</v>
      </c>
      <c r="M822" s="154">
        <f t="shared" si="61"/>
        <v>0</v>
      </c>
      <c r="N822" s="155">
        <f>+IF(OR($Q822=Parametres!$G$2,$Q822=Parametres!$G$3),I822,C822)</f>
        <v>0</v>
      </c>
      <c r="O822" s="1122">
        <f>+IF(OR($Q822=Parametres!$G$2,$Q822=Parametres!$G$3),J822,D822)</f>
        <v>0</v>
      </c>
      <c r="P822" s="155">
        <f>+IF(OR($Q822=Parametres!$G$2,$Q822=Parametres!$G$3),K822,E822)</f>
        <v>0</v>
      </c>
      <c r="Q822" s="154">
        <f t="shared" si="62"/>
        <v>0</v>
      </c>
      <c r="R822" s="153">
        <f t="shared" si="63"/>
        <v>0</v>
      </c>
      <c r="S822" s="154">
        <f t="shared" si="64"/>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hidden="1" customHeight="1">
      <c r="A823" s="157"/>
      <c r="B823" s="158"/>
      <c r="C823" s="159"/>
      <c r="D823" s="157"/>
      <c r="E823" s="157"/>
      <c r="F823" s="157"/>
      <c r="G823" s="157"/>
      <c r="H823" s="157"/>
      <c r="I823" s="157"/>
      <c r="J823" s="157"/>
      <c r="K823" s="157"/>
      <c r="L823" s="153">
        <f t="shared" si="60"/>
        <v>0</v>
      </c>
      <c r="M823" s="154">
        <f t="shared" si="61"/>
        <v>0</v>
      </c>
      <c r="N823" s="155">
        <f>+IF(OR($Q823=Parametres!$G$2,$Q823=Parametres!$G$3),I823,C823)</f>
        <v>0</v>
      </c>
      <c r="O823" s="1122">
        <f>+IF(OR($Q823=Parametres!$G$2,$Q823=Parametres!$G$3),J823,D823)</f>
        <v>0</v>
      </c>
      <c r="P823" s="155">
        <f>+IF(OR($Q823=Parametres!$G$2,$Q823=Parametres!$G$3),K823,E823)</f>
        <v>0</v>
      </c>
      <c r="Q823" s="154">
        <f t="shared" si="62"/>
        <v>0</v>
      </c>
      <c r="R823" s="153">
        <f t="shared" si="63"/>
        <v>0</v>
      </c>
      <c r="S823" s="154">
        <f t="shared" si="64"/>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hidden="1" customHeight="1">
      <c r="A824" s="157"/>
      <c r="B824" s="158"/>
      <c r="C824" s="159"/>
      <c r="D824" s="157"/>
      <c r="E824" s="157"/>
      <c r="F824" s="157"/>
      <c r="G824" s="157"/>
      <c r="H824" s="157"/>
      <c r="I824" s="157"/>
      <c r="J824" s="157"/>
      <c r="K824" s="157"/>
      <c r="L824" s="153">
        <f t="shared" si="60"/>
        <v>0</v>
      </c>
      <c r="M824" s="154">
        <f t="shared" si="61"/>
        <v>0</v>
      </c>
      <c r="N824" s="155">
        <f>+IF(OR($Q824=Parametres!$G$2,$Q824=Parametres!$G$3),I824,C824)</f>
        <v>0</v>
      </c>
      <c r="O824" s="1122">
        <f>+IF(OR($Q824=Parametres!$G$2,$Q824=Parametres!$G$3),J824,D824)</f>
        <v>0</v>
      </c>
      <c r="P824" s="155">
        <f>+IF(OR($Q824=Parametres!$G$2,$Q824=Parametres!$G$3),K824,E824)</f>
        <v>0</v>
      </c>
      <c r="Q824" s="154">
        <f t="shared" si="62"/>
        <v>0</v>
      </c>
      <c r="R824" s="153">
        <f t="shared" si="63"/>
        <v>0</v>
      </c>
      <c r="S824" s="154">
        <f t="shared" si="64"/>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hidden="1" customHeight="1">
      <c r="A825" s="157"/>
      <c r="B825" s="158"/>
      <c r="C825" s="159"/>
      <c r="D825" s="157"/>
      <c r="E825" s="157"/>
      <c r="F825" s="157"/>
      <c r="G825" s="157"/>
      <c r="H825" s="157"/>
      <c r="I825" s="157"/>
      <c r="J825" s="157"/>
      <c r="K825" s="157"/>
      <c r="L825" s="153">
        <f t="shared" si="60"/>
        <v>0</v>
      </c>
      <c r="M825" s="154">
        <f t="shared" si="61"/>
        <v>0</v>
      </c>
      <c r="N825" s="155">
        <f>+IF(OR($Q825=Parametres!$G$2,$Q825=Parametres!$G$3),I825,C825)</f>
        <v>0</v>
      </c>
      <c r="O825" s="1122">
        <f>+IF(OR($Q825=Parametres!$G$2,$Q825=Parametres!$G$3),J825,D825)</f>
        <v>0</v>
      </c>
      <c r="P825" s="155">
        <f>+IF(OR($Q825=Parametres!$G$2,$Q825=Parametres!$G$3),K825,E825)</f>
        <v>0</v>
      </c>
      <c r="Q825" s="154">
        <f t="shared" si="62"/>
        <v>0</v>
      </c>
      <c r="R825" s="153">
        <f t="shared" si="63"/>
        <v>0</v>
      </c>
      <c r="S825" s="154">
        <f t="shared" si="64"/>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hidden="1" customHeight="1">
      <c r="A826" s="157"/>
      <c r="B826" s="158"/>
      <c r="C826" s="159"/>
      <c r="D826" s="157"/>
      <c r="E826" s="157"/>
      <c r="F826" s="157"/>
      <c r="G826" s="157"/>
      <c r="H826" s="157"/>
      <c r="I826" s="157"/>
      <c r="J826" s="157"/>
      <c r="K826" s="157"/>
      <c r="L826" s="153">
        <f t="shared" si="60"/>
        <v>0</v>
      </c>
      <c r="M826" s="154">
        <f t="shared" si="61"/>
        <v>0</v>
      </c>
      <c r="N826" s="155">
        <f>+IF(OR($Q826=Parametres!$G$2,$Q826=Parametres!$G$3),I826,C826)</f>
        <v>0</v>
      </c>
      <c r="O826" s="1122">
        <f>+IF(OR($Q826=Parametres!$G$2,$Q826=Parametres!$G$3),J826,D826)</f>
        <v>0</v>
      </c>
      <c r="P826" s="155">
        <f>+IF(OR($Q826=Parametres!$G$2,$Q826=Parametres!$G$3),K826,E826)</f>
        <v>0</v>
      </c>
      <c r="Q826" s="154">
        <f t="shared" si="62"/>
        <v>0</v>
      </c>
      <c r="R826" s="153">
        <f t="shared" si="63"/>
        <v>0</v>
      </c>
      <c r="S826" s="154">
        <f t="shared" si="64"/>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hidden="1" customHeight="1">
      <c r="A827" s="157"/>
      <c r="B827" s="158"/>
      <c r="C827" s="159"/>
      <c r="D827" s="157"/>
      <c r="E827" s="157"/>
      <c r="F827" s="157"/>
      <c r="G827" s="157"/>
      <c r="H827" s="157"/>
      <c r="I827" s="157"/>
      <c r="J827" s="157"/>
      <c r="K827" s="157"/>
      <c r="L827" s="153">
        <f t="shared" si="60"/>
        <v>0</v>
      </c>
      <c r="M827" s="154">
        <f t="shared" si="61"/>
        <v>0</v>
      </c>
      <c r="N827" s="155">
        <f>+IF(OR($Q827=Parametres!$G$2,$Q827=Parametres!$G$3),I827,C827)</f>
        <v>0</v>
      </c>
      <c r="O827" s="1122">
        <f>+IF(OR($Q827=Parametres!$G$2,$Q827=Parametres!$G$3),J827,D827)</f>
        <v>0</v>
      </c>
      <c r="P827" s="155">
        <f>+IF(OR($Q827=Parametres!$G$2,$Q827=Parametres!$G$3),K827,E827)</f>
        <v>0</v>
      </c>
      <c r="Q827" s="154">
        <f t="shared" si="62"/>
        <v>0</v>
      </c>
      <c r="R827" s="153">
        <f t="shared" si="63"/>
        <v>0</v>
      </c>
      <c r="S827" s="154">
        <f t="shared" si="64"/>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hidden="1" customHeight="1">
      <c r="A828" s="157"/>
      <c r="B828" s="158"/>
      <c r="C828" s="159"/>
      <c r="D828" s="157"/>
      <c r="E828" s="157"/>
      <c r="F828" s="157"/>
      <c r="G828" s="157"/>
      <c r="H828" s="157"/>
      <c r="I828" s="157"/>
      <c r="J828" s="157"/>
      <c r="K828" s="157"/>
      <c r="L828" s="153">
        <f t="shared" si="60"/>
        <v>0</v>
      </c>
      <c r="M828" s="154">
        <f t="shared" si="61"/>
        <v>0</v>
      </c>
      <c r="N828" s="155">
        <f>+IF(OR($Q828=Parametres!$G$2,$Q828=Parametres!$G$3),I828,C828)</f>
        <v>0</v>
      </c>
      <c r="O828" s="1122">
        <f>+IF(OR($Q828=Parametres!$G$2,$Q828=Parametres!$G$3),J828,D828)</f>
        <v>0</v>
      </c>
      <c r="P828" s="155">
        <f>+IF(OR($Q828=Parametres!$G$2,$Q828=Parametres!$G$3),K828,E828)</f>
        <v>0</v>
      </c>
      <c r="Q828" s="154">
        <f t="shared" si="62"/>
        <v>0</v>
      </c>
      <c r="R828" s="153">
        <f t="shared" si="63"/>
        <v>0</v>
      </c>
      <c r="S828" s="154">
        <f t="shared" si="64"/>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hidden="1" customHeight="1">
      <c r="A829" s="157"/>
      <c r="B829" s="158"/>
      <c r="C829" s="159"/>
      <c r="D829" s="157"/>
      <c r="E829" s="157"/>
      <c r="F829" s="157"/>
      <c r="G829" s="157"/>
      <c r="H829" s="157"/>
      <c r="I829" s="157"/>
      <c r="J829" s="157"/>
      <c r="K829" s="157"/>
      <c r="L829" s="153">
        <f t="shared" si="60"/>
        <v>0</v>
      </c>
      <c r="M829" s="154">
        <f t="shared" si="61"/>
        <v>0</v>
      </c>
      <c r="N829" s="155">
        <f>+IF(OR($Q829=Parametres!$G$2,$Q829=Parametres!$G$3),I829,C829)</f>
        <v>0</v>
      </c>
      <c r="O829" s="1122">
        <f>+IF(OR($Q829=Parametres!$G$2,$Q829=Parametres!$G$3),J829,D829)</f>
        <v>0</v>
      </c>
      <c r="P829" s="155">
        <f>+IF(OR($Q829=Parametres!$G$2,$Q829=Parametres!$G$3),K829,E829)</f>
        <v>0</v>
      </c>
      <c r="Q829" s="154">
        <f t="shared" si="62"/>
        <v>0</v>
      </c>
      <c r="R829" s="153">
        <f t="shared" si="63"/>
        <v>0</v>
      </c>
      <c r="S829" s="154">
        <f t="shared" si="64"/>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hidden="1" customHeight="1">
      <c r="A830" s="157"/>
      <c r="B830" s="158"/>
      <c r="C830" s="159"/>
      <c r="D830" s="157"/>
      <c r="E830" s="157"/>
      <c r="F830" s="157"/>
      <c r="G830" s="157"/>
      <c r="H830" s="157"/>
      <c r="I830" s="157"/>
      <c r="J830" s="157"/>
      <c r="K830" s="157"/>
      <c r="L830" s="153">
        <f t="shared" si="60"/>
        <v>0</v>
      </c>
      <c r="M830" s="154">
        <f t="shared" si="61"/>
        <v>0</v>
      </c>
      <c r="N830" s="155">
        <f>+IF(OR($Q830=Parametres!$G$2,$Q830=Parametres!$G$3),I830,C830)</f>
        <v>0</v>
      </c>
      <c r="O830" s="1122">
        <f>+IF(OR($Q830=Parametres!$G$2,$Q830=Parametres!$G$3),J830,D830)</f>
        <v>0</v>
      </c>
      <c r="P830" s="155">
        <f>+IF(OR($Q830=Parametres!$G$2,$Q830=Parametres!$G$3),K830,E830)</f>
        <v>0</v>
      </c>
      <c r="Q830" s="154">
        <f t="shared" si="62"/>
        <v>0</v>
      </c>
      <c r="R830" s="153">
        <f t="shared" si="63"/>
        <v>0</v>
      </c>
      <c r="S830" s="154">
        <f t="shared" si="64"/>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hidden="1" customHeight="1">
      <c r="A831" s="157"/>
      <c r="B831" s="158"/>
      <c r="C831" s="159"/>
      <c r="D831" s="157"/>
      <c r="E831" s="157"/>
      <c r="F831" s="157"/>
      <c r="G831" s="157"/>
      <c r="H831" s="157"/>
      <c r="I831" s="157"/>
      <c r="J831" s="157"/>
      <c r="K831" s="157"/>
      <c r="L831" s="153">
        <f t="shared" si="60"/>
        <v>0</v>
      </c>
      <c r="M831" s="154">
        <f t="shared" si="61"/>
        <v>0</v>
      </c>
      <c r="N831" s="155">
        <f>+IF(OR($Q831=Parametres!$G$2,$Q831=Parametres!$G$3),I831,C831)</f>
        <v>0</v>
      </c>
      <c r="O831" s="1122">
        <f>+IF(OR($Q831=Parametres!$G$2,$Q831=Parametres!$G$3),J831,D831)</f>
        <v>0</v>
      </c>
      <c r="P831" s="155">
        <f>+IF(OR($Q831=Parametres!$G$2,$Q831=Parametres!$G$3),K831,E831)</f>
        <v>0</v>
      </c>
      <c r="Q831" s="154">
        <f t="shared" si="62"/>
        <v>0</v>
      </c>
      <c r="R831" s="153">
        <f t="shared" si="63"/>
        <v>0</v>
      </c>
      <c r="S831" s="154">
        <f t="shared" si="64"/>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hidden="1" customHeight="1">
      <c r="A832" s="157"/>
      <c r="B832" s="158"/>
      <c r="C832" s="159"/>
      <c r="D832" s="157"/>
      <c r="E832" s="157"/>
      <c r="F832" s="157"/>
      <c r="G832" s="157"/>
      <c r="H832" s="157"/>
      <c r="I832" s="157"/>
      <c r="J832" s="157"/>
      <c r="K832" s="157"/>
      <c r="L832" s="153">
        <f t="shared" si="60"/>
        <v>0</v>
      </c>
      <c r="M832" s="154">
        <f t="shared" si="61"/>
        <v>0</v>
      </c>
      <c r="N832" s="155">
        <f>+IF(OR($Q832=Parametres!$G$2,$Q832=Parametres!$G$3),I832,C832)</f>
        <v>0</v>
      </c>
      <c r="O832" s="1122">
        <f>+IF(OR($Q832=Parametres!$G$2,$Q832=Parametres!$G$3),J832,D832)</f>
        <v>0</v>
      </c>
      <c r="P832" s="155">
        <f>+IF(OR($Q832=Parametres!$G$2,$Q832=Parametres!$G$3),K832,E832)</f>
        <v>0</v>
      </c>
      <c r="Q832" s="154">
        <f t="shared" si="62"/>
        <v>0</v>
      </c>
      <c r="R832" s="153">
        <f t="shared" si="63"/>
        <v>0</v>
      </c>
      <c r="S832" s="154">
        <f t="shared" si="64"/>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hidden="1" customHeight="1">
      <c r="A833" s="157"/>
      <c r="B833" s="158"/>
      <c r="C833" s="159"/>
      <c r="D833" s="157"/>
      <c r="E833" s="157"/>
      <c r="F833" s="157"/>
      <c r="G833" s="157"/>
      <c r="H833" s="157"/>
      <c r="I833" s="157"/>
      <c r="J833" s="157"/>
      <c r="K833" s="157"/>
      <c r="L833" s="153">
        <f t="shared" si="60"/>
        <v>0</v>
      </c>
      <c r="M833" s="154">
        <f t="shared" si="61"/>
        <v>0</v>
      </c>
      <c r="N833" s="155">
        <f>+IF(OR($Q833=Parametres!$G$2,$Q833=Parametres!$G$3),I833,C833)</f>
        <v>0</v>
      </c>
      <c r="O833" s="1122">
        <f>+IF(OR($Q833=Parametres!$G$2,$Q833=Parametres!$G$3),J833,D833)</f>
        <v>0</v>
      </c>
      <c r="P833" s="155">
        <f>+IF(OR($Q833=Parametres!$G$2,$Q833=Parametres!$G$3),K833,E833)</f>
        <v>0</v>
      </c>
      <c r="Q833" s="154">
        <f t="shared" si="62"/>
        <v>0</v>
      </c>
      <c r="R833" s="153">
        <f t="shared" si="63"/>
        <v>0</v>
      </c>
      <c r="S833" s="154">
        <f t="shared" si="64"/>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hidden="1" customHeight="1">
      <c r="A834" s="157"/>
      <c r="B834" s="158"/>
      <c r="C834" s="159"/>
      <c r="D834" s="157"/>
      <c r="E834" s="157"/>
      <c r="F834" s="157"/>
      <c r="G834" s="157"/>
      <c r="H834" s="157"/>
      <c r="I834" s="157"/>
      <c r="J834" s="157"/>
      <c r="K834" s="157"/>
      <c r="L834" s="153">
        <f t="shared" ref="L834:L897" si="65">+B834</f>
        <v>0</v>
      </c>
      <c r="M834" s="154">
        <f t="shared" ref="M834:M897" si="66">+A834</f>
        <v>0</v>
      </c>
      <c r="N834" s="155">
        <f>+IF(OR($Q834=Parametres!$G$2,$Q834=Parametres!$G$3),I834,C834)</f>
        <v>0</v>
      </c>
      <c r="O834" s="1122">
        <f>+IF(OR($Q834=Parametres!$G$2,$Q834=Parametres!$G$3),J834,D834)</f>
        <v>0</v>
      </c>
      <c r="P834" s="155">
        <f>+IF(OR($Q834=Parametres!$G$2,$Q834=Parametres!$G$3),K834,E834)</f>
        <v>0</v>
      </c>
      <c r="Q834" s="154">
        <f t="shared" ref="Q834:Q897" si="67">+F834</f>
        <v>0</v>
      </c>
      <c r="R834" s="153">
        <f t="shared" ref="R834:R897" si="68">+G834</f>
        <v>0</v>
      </c>
      <c r="S834" s="154">
        <f t="shared" ref="S834:S897" si="69">+H834</f>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hidden="1" customHeight="1">
      <c r="A835" s="157"/>
      <c r="B835" s="158"/>
      <c r="C835" s="159"/>
      <c r="D835" s="157"/>
      <c r="E835" s="157"/>
      <c r="F835" s="157"/>
      <c r="G835" s="157"/>
      <c r="H835" s="157"/>
      <c r="I835" s="157"/>
      <c r="J835" s="157"/>
      <c r="K835" s="157"/>
      <c r="L835" s="153">
        <f t="shared" si="65"/>
        <v>0</v>
      </c>
      <c r="M835" s="154">
        <f t="shared" si="66"/>
        <v>0</v>
      </c>
      <c r="N835" s="155">
        <f>+IF(OR($Q835=Parametres!$G$2,$Q835=Parametres!$G$3),I835,C835)</f>
        <v>0</v>
      </c>
      <c r="O835" s="1122">
        <f>+IF(OR($Q835=Parametres!$G$2,$Q835=Parametres!$G$3),J835,D835)</f>
        <v>0</v>
      </c>
      <c r="P835" s="155">
        <f>+IF(OR($Q835=Parametres!$G$2,$Q835=Parametres!$G$3),K835,E835)</f>
        <v>0</v>
      </c>
      <c r="Q835" s="154">
        <f t="shared" si="67"/>
        <v>0</v>
      </c>
      <c r="R835" s="153">
        <f t="shared" si="68"/>
        <v>0</v>
      </c>
      <c r="S835" s="154">
        <f t="shared" si="69"/>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hidden="1" customHeight="1">
      <c r="A836" s="157"/>
      <c r="B836" s="158"/>
      <c r="C836" s="159"/>
      <c r="D836" s="157"/>
      <c r="E836" s="157"/>
      <c r="F836" s="157"/>
      <c r="G836" s="157"/>
      <c r="H836" s="157"/>
      <c r="I836" s="157"/>
      <c r="J836" s="157"/>
      <c r="K836" s="157"/>
      <c r="L836" s="153">
        <f t="shared" si="65"/>
        <v>0</v>
      </c>
      <c r="M836" s="154">
        <f t="shared" si="66"/>
        <v>0</v>
      </c>
      <c r="N836" s="155">
        <f>+IF(OR($Q836=Parametres!$G$2,$Q836=Parametres!$G$3),I836,C836)</f>
        <v>0</v>
      </c>
      <c r="O836" s="1122">
        <f>+IF(OR($Q836=Parametres!$G$2,$Q836=Parametres!$G$3),J836,D836)</f>
        <v>0</v>
      </c>
      <c r="P836" s="155">
        <f>+IF(OR($Q836=Parametres!$G$2,$Q836=Parametres!$G$3),K836,E836)</f>
        <v>0</v>
      </c>
      <c r="Q836" s="154">
        <f t="shared" si="67"/>
        <v>0</v>
      </c>
      <c r="R836" s="153">
        <f t="shared" si="68"/>
        <v>0</v>
      </c>
      <c r="S836" s="154">
        <f t="shared" si="69"/>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hidden="1" customHeight="1">
      <c r="A837" s="157"/>
      <c r="B837" s="158"/>
      <c r="C837" s="159"/>
      <c r="D837" s="157"/>
      <c r="E837" s="157"/>
      <c r="F837" s="157"/>
      <c r="G837" s="157"/>
      <c r="H837" s="157"/>
      <c r="I837" s="157"/>
      <c r="J837" s="157"/>
      <c r="K837" s="157"/>
      <c r="L837" s="153">
        <f t="shared" si="65"/>
        <v>0</v>
      </c>
      <c r="M837" s="154">
        <f t="shared" si="66"/>
        <v>0</v>
      </c>
      <c r="N837" s="155">
        <f>+IF(OR($Q837=Parametres!$G$2,$Q837=Parametres!$G$3),I837,C837)</f>
        <v>0</v>
      </c>
      <c r="O837" s="1122">
        <f>+IF(OR($Q837=Parametres!$G$2,$Q837=Parametres!$G$3),J837,D837)</f>
        <v>0</v>
      </c>
      <c r="P837" s="155">
        <f>+IF(OR($Q837=Parametres!$G$2,$Q837=Parametres!$G$3),K837,E837)</f>
        <v>0</v>
      </c>
      <c r="Q837" s="154">
        <f t="shared" si="67"/>
        <v>0</v>
      </c>
      <c r="R837" s="153">
        <f t="shared" si="68"/>
        <v>0</v>
      </c>
      <c r="S837" s="154">
        <f t="shared" si="69"/>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hidden="1" customHeight="1">
      <c r="A838" s="157"/>
      <c r="B838" s="158"/>
      <c r="C838" s="159"/>
      <c r="D838" s="157"/>
      <c r="E838" s="157"/>
      <c r="F838" s="157"/>
      <c r="G838" s="157"/>
      <c r="H838" s="157"/>
      <c r="I838" s="157"/>
      <c r="J838" s="157"/>
      <c r="K838" s="157"/>
      <c r="L838" s="153">
        <f t="shared" si="65"/>
        <v>0</v>
      </c>
      <c r="M838" s="154">
        <f t="shared" si="66"/>
        <v>0</v>
      </c>
      <c r="N838" s="155">
        <f>+IF(OR($Q838=Parametres!$G$2,$Q838=Parametres!$G$3),I838,C838)</f>
        <v>0</v>
      </c>
      <c r="O838" s="1122">
        <f>+IF(OR($Q838=Parametres!$G$2,$Q838=Parametres!$G$3),J838,D838)</f>
        <v>0</v>
      </c>
      <c r="P838" s="155">
        <f>+IF(OR($Q838=Parametres!$G$2,$Q838=Parametres!$G$3),K838,E838)</f>
        <v>0</v>
      </c>
      <c r="Q838" s="154">
        <f t="shared" si="67"/>
        <v>0</v>
      </c>
      <c r="R838" s="153">
        <f t="shared" si="68"/>
        <v>0</v>
      </c>
      <c r="S838" s="154">
        <f t="shared" si="69"/>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hidden="1" customHeight="1">
      <c r="A839" s="157"/>
      <c r="B839" s="158"/>
      <c r="C839" s="159"/>
      <c r="D839" s="157"/>
      <c r="E839" s="157"/>
      <c r="F839" s="157"/>
      <c r="G839" s="157"/>
      <c r="H839" s="157"/>
      <c r="I839" s="157"/>
      <c r="J839" s="157"/>
      <c r="K839" s="157"/>
      <c r="L839" s="153">
        <f t="shared" si="65"/>
        <v>0</v>
      </c>
      <c r="M839" s="154">
        <f t="shared" si="66"/>
        <v>0</v>
      </c>
      <c r="N839" s="155">
        <f>+IF(OR($Q839=Parametres!$G$2,$Q839=Parametres!$G$3),I839,C839)</f>
        <v>0</v>
      </c>
      <c r="O839" s="1122">
        <f>+IF(OR($Q839=Parametres!$G$2,$Q839=Parametres!$G$3),J839,D839)</f>
        <v>0</v>
      </c>
      <c r="P839" s="155">
        <f>+IF(OR($Q839=Parametres!$G$2,$Q839=Parametres!$G$3),K839,E839)</f>
        <v>0</v>
      </c>
      <c r="Q839" s="154">
        <f t="shared" si="67"/>
        <v>0</v>
      </c>
      <c r="R839" s="153">
        <f t="shared" si="68"/>
        <v>0</v>
      </c>
      <c r="S839" s="154">
        <f t="shared" si="69"/>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hidden="1" customHeight="1">
      <c r="A840" s="157"/>
      <c r="B840" s="158"/>
      <c r="C840" s="159"/>
      <c r="D840" s="157"/>
      <c r="E840" s="157"/>
      <c r="F840" s="157"/>
      <c r="G840" s="157"/>
      <c r="H840" s="157"/>
      <c r="I840" s="157"/>
      <c r="J840" s="157"/>
      <c r="K840" s="157"/>
      <c r="L840" s="153">
        <f t="shared" si="65"/>
        <v>0</v>
      </c>
      <c r="M840" s="154">
        <f t="shared" si="66"/>
        <v>0</v>
      </c>
      <c r="N840" s="155">
        <f>+IF(OR($Q840=Parametres!$G$2,$Q840=Parametres!$G$3),I840,C840)</f>
        <v>0</v>
      </c>
      <c r="O840" s="1122">
        <f>+IF(OR($Q840=Parametres!$G$2,$Q840=Parametres!$G$3),J840,D840)</f>
        <v>0</v>
      </c>
      <c r="P840" s="155">
        <f>+IF(OR($Q840=Parametres!$G$2,$Q840=Parametres!$G$3),K840,E840)</f>
        <v>0</v>
      </c>
      <c r="Q840" s="154">
        <f t="shared" si="67"/>
        <v>0</v>
      </c>
      <c r="R840" s="153">
        <f t="shared" si="68"/>
        <v>0</v>
      </c>
      <c r="S840" s="154">
        <f t="shared" si="69"/>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hidden="1" customHeight="1">
      <c r="A841" s="157"/>
      <c r="B841" s="158"/>
      <c r="C841" s="159"/>
      <c r="D841" s="157"/>
      <c r="E841" s="157"/>
      <c r="F841" s="157"/>
      <c r="G841" s="157"/>
      <c r="H841" s="157"/>
      <c r="I841" s="157"/>
      <c r="J841" s="157"/>
      <c r="K841" s="157"/>
      <c r="L841" s="153">
        <f t="shared" si="65"/>
        <v>0</v>
      </c>
      <c r="M841" s="154">
        <f t="shared" si="66"/>
        <v>0</v>
      </c>
      <c r="N841" s="155">
        <f>+IF(OR($Q841=Parametres!$G$2,$Q841=Parametres!$G$3),I841,C841)</f>
        <v>0</v>
      </c>
      <c r="O841" s="1122">
        <f>+IF(OR($Q841=Parametres!$G$2,$Q841=Parametres!$G$3),J841,D841)</f>
        <v>0</v>
      </c>
      <c r="P841" s="155">
        <f>+IF(OR($Q841=Parametres!$G$2,$Q841=Parametres!$G$3),K841,E841)</f>
        <v>0</v>
      </c>
      <c r="Q841" s="154">
        <f t="shared" si="67"/>
        <v>0</v>
      </c>
      <c r="R841" s="153">
        <f t="shared" si="68"/>
        <v>0</v>
      </c>
      <c r="S841" s="154">
        <f t="shared" si="69"/>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hidden="1" customHeight="1">
      <c r="A842" s="157"/>
      <c r="B842" s="158"/>
      <c r="C842" s="159"/>
      <c r="D842" s="157"/>
      <c r="E842" s="157"/>
      <c r="F842" s="157"/>
      <c r="G842" s="157"/>
      <c r="H842" s="157"/>
      <c r="I842" s="157"/>
      <c r="J842" s="157"/>
      <c r="K842" s="157"/>
      <c r="L842" s="153">
        <f t="shared" si="65"/>
        <v>0</v>
      </c>
      <c r="M842" s="154">
        <f t="shared" si="66"/>
        <v>0</v>
      </c>
      <c r="N842" s="155">
        <f>+IF(OR($Q842=Parametres!$G$2,$Q842=Parametres!$G$3),I842,C842)</f>
        <v>0</v>
      </c>
      <c r="O842" s="1122">
        <f>+IF(OR($Q842=Parametres!$G$2,$Q842=Parametres!$G$3),J842,D842)</f>
        <v>0</v>
      </c>
      <c r="P842" s="155">
        <f>+IF(OR($Q842=Parametres!$G$2,$Q842=Parametres!$G$3),K842,E842)</f>
        <v>0</v>
      </c>
      <c r="Q842" s="154">
        <f t="shared" si="67"/>
        <v>0</v>
      </c>
      <c r="R842" s="153">
        <f t="shared" si="68"/>
        <v>0</v>
      </c>
      <c r="S842" s="154">
        <f t="shared" si="69"/>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hidden="1" customHeight="1">
      <c r="A843" s="157"/>
      <c r="B843" s="158"/>
      <c r="C843" s="159"/>
      <c r="D843" s="157"/>
      <c r="E843" s="157"/>
      <c r="F843" s="157"/>
      <c r="G843" s="157"/>
      <c r="H843" s="157"/>
      <c r="I843" s="157"/>
      <c r="J843" s="157"/>
      <c r="K843" s="157"/>
      <c r="L843" s="153">
        <f t="shared" si="65"/>
        <v>0</v>
      </c>
      <c r="M843" s="154">
        <f t="shared" si="66"/>
        <v>0</v>
      </c>
      <c r="N843" s="155">
        <f>+IF(OR($Q843=Parametres!$G$2,$Q843=Parametres!$G$3),I843,C843)</f>
        <v>0</v>
      </c>
      <c r="O843" s="1122">
        <f>+IF(OR($Q843=Parametres!$G$2,$Q843=Parametres!$G$3),J843,D843)</f>
        <v>0</v>
      </c>
      <c r="P843" s="155">
        <f>+IF(OR($Q843=Parametres!$G$2,$Q843=Parametres!$G$3),K843,E843)</f>
        <v>0</v>
      </c>
      <c r="Q843" s="154">
        <f t="shared" si="67"/>
        <v>0</v>
      </c>
      <c r="R843" s="153">
        <f t="shared" si="68"/>
        <v>0</v>
      </c>
      <c r="S843" s="154">
        <f t="shared" si="69"/>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hidden="1" customHeight="1">
      <c r="A844" s="157"/>
      <c r="B844" s="158"/>
      <c r="C844" s="159"/>
      <c r="D844" s="157"/>
      <c r="E844" s="157"/>
      <c r="F844" s="157"/>
      <c r="G844" s="157"/>
      <c r="H844" s="157"/>
      <c r="I844" s="157"/>
      <c r="J844" s="157"/>
      <c r="K844" s="157"/>
      <c r="L844" s="153">
        <f t="shared" si="65"/>
        <v>0</v>
      </c>
      <c r="M844" s="154">
        <f t="shared" si="66"/>
        <v>0</v>
      </c>
      <c r="N844" s="155">
        <f>+IF(OR($Q844=Parametres!$G$2,$Q844=Parametres!$G$3),I844,C844)</f>
        <v>0</v>
      </c>
      <c r="O844" s="1122">
        <f>+IF(OR($Q844=Parametres!$G$2,$Q844=Parametres!$G$3),J844,D844)</f>
        <v>0</v>
      </c>
      <c r="P844" s="155">
        <f>+IF(OR($Q844=Parametres!$G$2,$Q844=Parametres!$G$3),K844,E844)</f>
        <v>0</v>
      </c>
      <c r="Q844" s="154">
        <f t="shared" si="67"/>
        <v>0</v>
      </c>
      <c r="R844" s="153">
        <f t="shared" si="68"/>
        <v>0</v>
      </c>
      <c r="S844" s="154">
        <f t="shared" si="69"/>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hidden="1" customHeight="1">
      <c r="A845" s="157"/>
      <c r="B845" s="158"/>
      <c r="C845" s="159"/>
      <c r="D845" s="157"/>
      <c r="E845" s="157"/>
      <c r="F845" s="157"/>
      <c r="G845" s="157"/>
      <c r="H845" s="157"/>
      <c r="I845" s="157"/>
      <c r="J845" s="157"/>
      <c r="K845" s="157"/>
      <c r="L845" s="153">
        <f t="shared" si="65"/>
        <v>0</v>
      </c>
      <c r="M845" s="154">
        <f t="shared" si="66"/>
        <v>0</v>
      </c>
      <c r="N845" s="155">
        <f>+IF(OR($Q845=Parametres!$G$2,$Q845=Parametres!$G$3),I845,C845)</f>
        <v>0</v>
      </c>
      <c r="O845" s="1122">
        <f>+IF(OR($Q845=Parametres!$G$2,$Q845=Parametres!$G$3),J845,D845)</f>
        <v>0</v>
      </c>
      <c r="P845" s="155">
        <f>+IF(OR($Q845=Parametres!$G$2,$Q845=Parametres!$G$3),K845,E845)</f>
        <v>0</v>
      </c>
      <c r="Q845" s="154">
        <f t="shared" si="67"/>
        <v>0</v>
      </c>
      <c r="R845" s="153">
        <f t="shared" si="68"/>
        <v>0</v>
      </c>
      <c r="S845" s="154">
        <f t="shared" si="69"/>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hidden="1" customHeight="1">
      <c r="A846" s="157"/>
      <c r="B846" s="158"/>
      <c r="C846" s="159"/>
      <c r="D846" s="157"/>
      <c r="E846" s="157"/>
      <c r="F846" s="157"/>
      <c r="G846" s="157"/>
      <c r="H846" s="157"/>
      <c r="I846" s="157"/>
      <c r="J846" s="157"/>
      <c r="K846" s="157"/>
      <c r="L846" s="153">
        <f t="shared" si="65"/>
        <v>0</v>
      </c>
      <c r="M846" s="154">
        <f t="shared" si="66"/>
        <v>0</v>
      </c>
      <c r="N846" s="155">
        <f>+IF(OR($Q846=Parametres!$G$2,$Q846=Parametres!$G$3),I846,C846)</f>
        <v>0</v>
      </c>
      <c r="O846" s="1122">
        <f>+IF(OR($Q846=Parametres!$G$2,$Q846=Parametres!$G$3),J846,D846)</f>
        <v>0</v>
      </c>
      <c r="P846" s="155">
        <f>+IF(OR($Q846=Parametres!$G$2,$Q846=Parametres!$G$3),K846,E846)</f>
        <v>0</v>
      </c>
      <c r="Q846" s="154">
        <f t="shared" si="67"/>
        <v>0</v>
      </c>
      <c r="R846" s="153">
        <f t="shared" si="68"/>
        <v>0</v>
      </c>
      <c r="S846" s="154">
        <f t="shared" si="69"/>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hidden="1" customHeight="1">
      <c r="A847" s="157"/>
      <c r="B847" s="158"/>
      <c r="C847" s="159"/>
      <c r="D847" s="157"/>
      <c r="E847" s="157"/>
      <c r="F847" s="157"/>
      <c r="G847" s="157"/>
      <c r="H847" s="157"/>
      <c r="I847" s="157"/>
      <c r="J847" s="157"/>
      <c r="K847" s="157"/>
      <c r="L847" s="153">
        <f t="shared" si="65"/>
        <v>0</v>
      </c>
      <c r="M847" s="154">
        <f t="shared" si="66"/>
        <v>0</v>
      </c>
      <c r="N847" s="155">
        <f>+IF(OR($Q847=Parametres!$G$2,$Q847=Parametres!$G$3),I847,C847)</f>
        <v>0</v>
      </c>
      <c r="O847" s="1122">
        <f>+IF(OR($Q847=Parametres!$G$2,$Q847=Parametres!$G$3),J847,D847)</f>
        <v>0</v>
      </c>
      <c r="P847" s="155">
        <f>+IF(OR($Q847=Parametres!$G$2,$Q847=Parametres!$G$3),K847,E847)</f>
        <v>0</v>
      </c>
      <c r="Q847" s="154">
        <f t="shared" si="67"/>
        <v>0</v>
      </c>
      <c r="R847" s="153">
        <f t="shared" si="68"/>
        <v>0</v>
      </c>
      <c r="S847" s="154">
        <f t="shared" si="69"/>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hidden="1" customHeight="1">
      <c r="A848" s="157"/>
      <c r="B848" s="158"/>
      <c r="C848" s="159"/>
      <c r="D848" s="157"/>
      <c r="E848" s="157"/>
      <c r="F848" s="157"/>
      <c r="G848" s="157"/>
      <c r="H848" s="157"/>
      <c r="I848" s="157"/>
      <c r="J848" s="157"/>
      <c r="K848" s="157"/>
      <c r="L848" s="153">
        <f t="shared" si="65"/>
        <v>0</v>
      </c>
      <c r="M848" s="154">
        <f t="shared" si="66"/>
        <v>0</v>
      </c>
      <c r="N848" s="155">
        <f>+IF(OR($Q848=Parametres!$G$2,$Q848=Parametres!$G$3),I848,C848)</f>
        <v>0</v>
      </c>
      <c r="O848" s="1122">
        <f>+IF(OR($Q848=Parametres!$G$2,$Q848=Parametres!$G$3),J848,D848)</f>
        <v>0</v>
      </c>
      <c r="P848" s="155">
        <f>+IF(OR($Q848=Parametres!$G$2,$Q848=Parametres!$G$3),K848,E848)</f>
        <v>0</v>
      </c>
      <c r="Q848" s="154">
        <f t="shared" si="67"/>
        <v>0</v>
      </c>
      <c r="R848" s="153">
        <f t="shared" si="68"/>
        <v>0</v>
      </c>
      <c r="S848" s="154">
        <f t="shared" si="69"/>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hidden="1" customHeight="1">
      <c r="A849" s="157"/>
      <c r="B849" s="158"/>
      <c r="C849" s="159"/>
      <c r="D849" s="157"/>
      <c r="E849" s="157"/>
      <c r="F849" s="157"/>
      <c r="G849" s="157"/>
      <c r="H849" s="157"/>
      <c r="I849" s="157"/>
      <c r="J849" s="157"/>
      <c r="K849" s="157"/>
      <c r="L849" s="153">
        <f t="shared" si="65"/>
        <v>0</v>
      </c>
      <c r="M849" s="154">
        <f t="shared" si="66"/>
        <v>0</v>
      </c>
      <c r="N849" s="155">
        <f>+IF(OR($Q849=Parametres!$G$2,$Q849=Parametres!$G$3),I849,C849)</f>
        <v>0</v>
      </c>
      <c r="O849" s="1122">
        <f>+IF(OR($Q849=Parametres!$G$2,$Q849=Parametres!$G$3),J849,D849)</f>
        <v>0</v>
      </c>
      <c r="P849" s="155">
        <f>+IF(OR($Q849=Parametres!$G$2,$Q849=Parametres!$G$3),K849,E849)</f>
        <v>0</v>
      </c>
      <c r="Q849" s="154">
        <f t="shared" si="67"/>
        <v>0</v>
      </c>
      <c r="R849" s="153">
        <f t="shared" si="68"/>
        <v>0</v>
      </c>
      <c r="S849" s="154">
        <f t="shared" si="69"/>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hidden="1" customHeight="1">
      <c r="A850" s="157"/>
      <c r="B850" s="158"/>
      <c r="C850" s="159"/>
      <c r="D850" s="157"/>
      <c r="E850" s="157"/>
      <c r="F850" s="157"/>
      <c r="G850" s="157"/>
      <c r="H850" s="157"/>
      <c r="I850" s="157"/>
      <c r="J850" s="157"/>
      <c r="K850" s="157"/>
      <c r="L850" s="153">
        <f t="shared" si="65"/>
        <v>0</v>
      </c>
      <c r="M850" s="154">
        <f t="shared" si="66"/>
        <v>0</v>
      </c>
      <c r="N850" s="155">
        <f>+IF(OR($Q850=Parametres!$G$2,$Q850=Parametres!$G$3),I850,C850)</f>
        <v>0</v>
      </c>
      <c r="O850" s="1122">
        <f>+IF(OR($Q850=Parametres!$G$2,$Q850=Parametres!$G$3),J850,D850)</f>
        <v>0</v>
      </c>
      <c r="P850" s="155">
        <f>+IF(OR($Q850=Parametres!$G$2,$Q850=Parametres!$G$3),K850,E850)</f>
        <v>0</v>
      </c>
      <c r="Q850" s="154">
        <f t="shared" si="67"/>
        <v>0</v>
      </c>
      <c r="R850" s="153">
        <f t="shared" si="68"/>
        <v>0</v>
      </c>
      <c r="S850" s="154">
        <f t="shared" si="69"/>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hidden="1" customHeight="1">
      <c r="A851" s="157"/>
      <c r="B851" s="158"/>
      <c r="C851" s="159"/>
      <c r="D851" s="157"/>
      <c r="E851" s="157"/>
      <c r="F851" s="157"/>
      <c r="G851" s="157"/>
      <c r="H851" s="157"/>
      <c r="I851" s="157"/>
      <c r="J851" s="157"/>
      <c r="K851" s="157"/>
      <c r="L851" s="153">
        <f t="shared" si="65"/>
        <v>0</v>
      </c>
      <c r="M851" s="154">
        <f t="shared" si="66"/>
        <v>0</v>
      </c>
      <c r="N851" s="155">
        <f>+IF(OR($Q851=Parametres!$G$2,$Q851=Parametres!$G$3),I851,C851)</f>
        <v>0</v>
      </c>
      <c r="O851" s="1122">
        <f>+IF(OR($Q851=Parametres!$G$2,$Q851=Parametres!$G$3),J851,D851)</f>
        <v>0</v>
      </c>
      <c r="P851" s="155">
        <f>+IF(OR($Q851=Parametres!$G$2,$Q851=Parametres!$G$3),K851,E851)</f>
        <v>0</v>
      </c>
      <c r="Q851" s="154">
        <f t="shared" si="67"/>
        <v>0</v>
      </c>
      <c r="R851" s="153">
        <f t="shared" si="68"/>
        <v>0</v>
      </c>
      <c r="S851" s="154">
        <f t="shared" si="69"/>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hidden="1" customHeight="1">
      <c r="A852" s="157"/>
      <c r="B852" s="158"/>
      <c r="C852" s="159"/>
      <c r="D852" s="157"/>
      <c r="E852" s="157"/>
      <c r="F852" s="157"/>
      <c r="G852" s="157"/>
      <c r="H852" s="157"/>
      <c r="I852" s="157"/>
      <c r="J852" s="157"/>
      <c r="K852" s="157"/>
      <c r="L852" s="153">
        <f t="shared" si="65"/>
        <v>0</v>
      </c>
      <c r="M852" s="154">
        <f t="shared" si="66"/>
        <v>0</v>
      </c>
      <c r="N852" s="155">
        <f>+IF(OR($Q852=Parametres!$G$2,$Q852=Parametres!$G$3),I852,C852)</f>
        <v>0</v>
      </c>
      <c r="O852" s="1122">
        <f>+IF(OR($Q852=Parametres!$G$2,$Q852=Parametres!$G$3),J852,D852)</f>
        <v>0</v>
      </c>
      <c r="P852" s="155">
        <f>+IF(OR($Q852=Parametres!$G$2,$Q852=Parametres!$G$3),K852,E852)</f>
        <v>0</v>
      </c>
      <c r="Q852" s="154">
        <f t="shared" si="67"/>
        <v>0</v>
      </c>
      <c r="R852" s="153">
        <f t="shared" si="68"/>
        <v>0</v>
      </c>
      <c r="S852" s="154">
        <f t="shared" si="69"/>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hidden="1" customHeight="1">
      <c r="A853" s="157"/>
      <c r="B853" s="158"/>
      <c r="C853" s="159"/>
      <c r="D853" s="157"/>
      <c r="E853" s="157"/>
      <c r="F853" s="157"/>
      <c r="G853" s="157"/>
      <c r="H853" s="157"/>
      <c r="I853" s="157"/>
      <c r="J853" s="157"/>
      <c r="K853" s="157"/>
      <c r="L853" s="153">
        <f t="shared" si="65"/>
        <v>0</v>
      </c>
      <c r="M853" s="154">
        <f t="shared" si="66"/>
        <v>0</v>
      </c>
      <c r="N853" s="155">
        <f>+IF(OR($Q853=Parametres!$G$2,$Q853=Parametres!$G$3),I853,C853)</f>
        <v>0</v>
      </c>
      <c r="O853" s="1122">
        <f>+IF(OR($Q853=Parametres!$G$2,$Q853=Parametres!$G$3),J853,D853)</f>
        <v>0</v>
      </c>
      <c r="P853" s="155">
        <f>+IF(OR($Q853=Parametres!$G$2,$Q853=Parametres!$G$3),K853,E853)</f>
        <v>0</v>
      </c>
      <c r="Q853" s="154">
        <f t="shared" si="67"/>
        <v>0</v>
      </c>
      <c r="R853" s="153">
        <f t="shared" si="68"/>
        <v>0</v>
      </c>
      <c r="S853" s="154">
        <f t="shared" si="69"/>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hidden="1" customHeight="1">
      <c r="A854" s="157"/>
      <c r="B854" s="158"/>
      <c r="C854" s="159"/>
      <c r="D854" s="157"/>
      <c r="E854" s="157"/>
      <c r="F854" s="157"/>
      <c r="G854" s="157"/>
      <c r="H854" s="157"/>
      <c r="I854" s="157"/>
      <c r="J854" s="157"/>
      <c r="K854" s="157"/>
      <c r="L854" s="153">
        <f t="shared" si="65"/>
        <v>0</v>
      </c>
      <c r="M854" s="154">
        <f t="shared" si="66"/>
        <v>0</v>
      </c>
      <c r="N854" s="155">
        <f>+IF(OR($Q854=Parametres!$G$2,$Q854=Parametres!$G$3),I854,C854)</f>
        <v>0</v>
      </c>
      <c r="O854" s="1122">
        <f>+IF(OR($Q854=Parametres!$G$2,$Q854=Parametres!$G$3),J854,D854)</f>
        <v>0</v>
      </c>
      <c r="P854" s="155">
        <f>+IF(OR($Q854=Parametres!$G$2,$Q854=Parametres!$G$3),K854,E854)</f>
        <v>0</v>
      </c>
      <c r="Q854" s="154">
        <f t="shared" si="67"/>
        <v>0</v>
      </c>
      <c r="R854" s="153">
        <f t="shared" si="68"/>
        <v>0</v>
      </c>
      <c r="S854" s="154">
        <f t="shared" si="69"/>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hidden="1" customHeight="1">
      <c r="A855" s="157"/>
      <c r="B855" s="158"/>
      <c r="C855" s="159"/>
      <c r="D855" s="157"/>
      <c r="E855" s="157"/>
      <c r="F855" s="157"/>
      <c r="G855" s="157"/>
      <c r="H855" s="157"/>
      <c r="I855" s="157"/>
      <c r="J855" s="157"/>
      <c r="K855" s="157"/>
      <c r="L855" s="153">
        <f t="shared" si="65"/>
        <v>0</v>
      </c>
      <c r="M855" s="154">
        <f t="shared" si="66"/>
        <v>0</v>
      </c>
      <c r="N855" s="155">
        <f>+IF(OR($Q855=Parametres!$G$2,$Q855=Parametres!$G$3),I855,C855)</f>
        <v>0</v>
      </c>
      <c r="O855" s="1122">
        <f>+IF(OR($Q855=Parametres!$G$2,$Q855=Parametres!$G$3),J855,D855)</f>
        <v>0</v>
      </c>
      <c r="P855" s="155">
        <f>+IF(OR($Q855=Parametres!$G$2,$Q855=Parametres!$G$3),K855,E855)</f>
        <v>0</v>
      </c>
      <c r="Q855" s="154">
        <f t="shared" si="67"/>
        <v>0</v>
      </c>
      <c r="R855" s="153">
        <f t="shared" si="68"/>
        <v>0</v>
      </c>
      <c r="S855" s="154">
        <f t="shared" si="69"/>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hidden="1" customHeight="1">
      <c r="A856" s="157"/>
      <c r="B856" s="158"/>
      <c r="C856" s="159"/>
      <c r="D856" s="157"/>
      <c r="E856" s="157"/>
      <c r="F856" s="157"/>
      <c r="G856" s="157"/>
      <c r="H856" s="157"/>
      <c r="I856" s="157"/>
      <c r="J856" s="157"/>
      <c r="K856" s="157"/>
      <c r="L856" s="153">
        <f t="shared" si="65"/>
        <v>0</v>
      </c>
      <c r="M856" s="154">
        <f t="shared" si="66"/>
        <v>0</v>
      </c>
      <c r="N856" s="155">
        <f>+IF(OR($Q856=Parametres!$G$2,$Q856=Parametres!$G$3),I856,C856)</f>
        <v>0</v>
      </c>
      <c r="O856" s="1122">
        <f>+IF(OR($Q856=Parametres!$G$2,$Q856=Parametres!$G$3),J856,D856)</f>
        <v>0</v>
      </c>
      <c r="P856" s="155">
        <f>+IF(OR($Q856=Parametres!$G$2,$Q856=Parametres!$G$3),K856,E856)</f>
        <v>0</v>
      </c>
      <c r="Q856" s="154">
        <f t="shared" si="67"/>
        <v>0</v>
      </c>
      <c r="R856" s="153">
        <f t="shared" si="68"/>
        <v>0</v>
      </c>
      <c r="S856" s="154">
        <f t="shared" si="69"/>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hidden="1" customHeight="1">
      <c r="A857" s="157"/>
      <c r="B857" s="158"/>
      <c r="C857" s="159"/>
      <c r="D857" s="157"/>
      <c r="E857" s="157"/>
      <c r="F857" s="157"/>
      <c r="G857" s="157"/>
      <c r="H857" s="157"/>
      <c r="I857" s="157"/>
      <c r="J857" s="157"/>
      <c r="K857" s="157"/>
      <c r="L857" s="153">
        <f t="shared" si="65"/>
        <v>0</v>
      </c>
      <c r="M857" s="154">
        <f t="shared" si="66"/>
        <v>0</v>
      </c>
      <c r="N857" s="155">
        <f>+IF(OR($Q857=Parametres!$G$2,$Q857=Parametres!$G$3),I857,C857)</f>
        <v>0</v>
      </c>
      <c r="O857" s="1122">
        <f>+IF(OR($Q857=Parametres!$G$2,$Q857=Parametres!$G$3),J857,D857)</f>
        <v>0</v>
      </c>
      <c r="P857" s="155">
        <f>+IF(OR($Q857=Parametres!$G$2,$Q857=Parametres!$G$3),K857,E857)</f>
        <v>0</v>
      </c>
      <c r="Q857" s="154">
        <f t="shared" si="67"/>
        <v>0</v>
      </c>
      <c r="R857" s="153">
        <f t="shared" si="68"/>
        <v>0</v>
      </c>
      <c r="S857" s="154">
        <f t="shared" si="69"/>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hidden="1" customHeight="1">
      <c r="A858" s="157"/>
      <c r="B858" s="158"/>
      <c r="C858" s="159"/>
      <c r="D858" s="157"/>
      <c r="E858" s="157"/>
      <c r="F858" s="157"/>
      <c r="G858" s="157"/>
      <c r="H858" s="157"/>
      <c r="I858" s="157"/>
      <c r="J858" s="157"/>
      <c r="K858" s="157"/>
      <c r="L858" s="153">
        <f t="shared" si="65"/>
        <v>0</v>
      </c>
      <c r="M858" s="154">
        <f t="shared" si="66"/>
        <v>0</v>
      </c>
      <c r="N858" s="155">
        <f>+IF(OR($Q858=Parametres!$G$2,$Q858=Parametres!$G$3),I858,C858)</f>
        <v>0</v>
      </c>
      <c r="O858" s="1122">
        <f>+IF(OR($Q858=Parametres!$G$2,$Q858=Parametres!$G$3),J858,D858)</f>
        <v>0</v>
      </c>
      <c r="P858" s="155">
        <f>+IF(OR($Q858=Parametres!$G$2,$Q858=Parametres!$G$3),K858,E858)</f>
        <v>0</v>
      </c>
      <c r="Q858" s="154">
        <f t="shared" si="67"/>
        <v>0</v>
      </c>
      <c r="R858" s="153">
        <f t="shared" si="68"/>
        <v>0</v>
      </c>
      <c r="S858" s="154">
        <f t="shared" si="69"/>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hidden="1" customHeight="1">
      <c r="A859" s="157"/>
      <c r="B859" s="158"/>
      <c r="C859" s="159"/>
      <c r="D859" s="157"/>
      <c r="E859" s="157"/>
      <c r="F859" s="157"/>
      <c r="G859" s="157"/>
      <c r="H859" s="157"/>
      <c r="I859" s="157"/>
      <c r="J859" s="157"/>
      <c r="K859" s="157"/>
      <c r="L859" s="153">
        <f t="shared" si="65"/>
        <v>0</v>
      </c>
      <c r="M859" s="154">
        <f t="shared" si="66"/>
        <v>0</v>
      </c>
      <c r="N859" s="155">
        <f>+IF(OR($Q859=Parametres!$G$2,$Q859=Parametres!$G$3),I859,C859)</f>
        <v>0</v>
      </c>
      <c r="O859" s="1122">
        <f>+IF(OR($Q859=Parametres!$G$2,$Q859=Parametres!$G$3),J859,D859)</f>
        <v>0</v>
      </c>
      <c r="P859" s="155">
        <f>+IF(OR($Q859=Parametres!$G$2,$Q859=Parametres!$G$3),K859,E859)</f>
        <v>0</v>
      </c>
      <c r="Q859" s="154">
        <f t="shared" si="67"/>
        <v>0</v>
      </c>
      <c r="R859" s="153">
        <f t="shared" si="68"/>
        <v>0</v>
      </c>
      <c r="S859" s="154">
        <f t="shared" si="69"/>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hidden="1" customHeight="1">
      <c r="A860" s="157"/>
      <c r="B860" s="158"/>
      <c r="C860" s="159"/>
      <c r="D860" s="157"/>
      <c r="E860" s="157"/>
      <c r="F860" s="157"/>
      <c r="G860" s="157"/>
      <c r="H860" s="157"/>
      <c r="I860" s="157"/>
      <c r="J860" s="157"/>
      <c r="K860" s="157"/>
      <c r="L860" s="153">
        <f t="shared" si="65"/>
        <v>0</v>
      </c>
      <c r="M860" s="154">
        <f t="shared" si="66"/>
        <v>0</v>
      </c>
      <c r="N860" s="155">
        <f>+IF(OR($Q860=Parametres!$G$2,$Q860=Parametres!$G$3),I860,C860)</f>
        <v>0</v>
      </c>
      <c r="O860" s="1122">
        <f>+IF(OR($Q860=Parametres!$G$2,$Q860=Parametres!$G$3),J860,D860)</f>
        <v>0</v>
      </c>
      <c r="P860" s="155">
        <f>+IF(OR($Q860=Parametres!$G$2,$Q860=Parametres!$G$3),K860,E860)</f>
        <v>0</v>
      </c>
      <c r="Q860" s="154">
        <f t="shared" si="67"/>
        <v>0</v>
      </c>
      <c r="R860" s="153">
        <f t="shared" si="68"/>
        <v>0</v>
      </c>
      <c r="S860" s="154">
        <f t="shared" si="69"/>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hidden="1" customHeight="1">
      <c r="A861" s="157"/>
      <c r="B861" s="158"/>
      <c r="C861" s="159"/>
      <c r="D861" s="157"/>
      <c r="E861" s="157"/>
      <c r="F861" s="157"/>
      <c r="G861" s="157"/>
      <c r="H861" s="157"/>
      <c r="I861" s="157"/>
      <c r="J861" s="157"/>
      <c r="K861" s="157"/>
      <c r="L861" s="153">
        <f t="shared" si="65"/>
        <v>0</v>
      </c>
      <c r="M861" s="154">
        <f t="shared" si="66"/>
        <v>0</v>
      </c>
      <c r="N861" s="155">
        <f>+IF(OR($Q861=Parametres!$G$2,$Q861=Parametres!$G$3),I861,C861)</f>
        <v>0</v>
      </c>
      <c r="O861" s="1122">
        <f>+IF(OR($Q861=Parametres!$G$2,$Q861=Parametres!$G$3),J861,D861)</f>
        <v>0</v>
      </c>
      <c r="P861" s="155">
        <f>+IF(OR($Q861=Parametres!$G$2,$Q861=Parametres!$G$3),K861,E861)</f>
        <v>0</v>
      </c>
      <c r="Q861" s="154">
        <f t="shared" si="67"/>
        <v>0</v>
      </c>
      <c r="R861" s="153">
        <f t="shared" si="68"/>
        <v>0</v>
      </c>
      <c r="S861" s="154">
        <f t="shared" si="69"/>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hidden="1" customHeight="1">
      <c r="A862" s="157"/>
      <c r="B862" s="158"/>
      <c r="C862" s="159"/>
      <c r="D862" s="157"/>
      <c r="E862" s="157"/>
      <c r="F862" s="157"/>
      <c r="G862" s="157"/>
      <c r="H862" s="157"/>
      <c r="I862" s="157"/>
      <c r="J862" s="157"/>
      <c r="K862" s="157"/>
      <c r="L862" s="153">
        <f t="shared" si="65"/>
        <v>0</v>
      </c>
      <c r="M862" s="154">
        <f t="shared" si="66"/>
        <v>0</v>
      </c>
      <c r="N862" s="155">
        <f>+IF(OR($Q862=Parametres!$G$2,$Q862=Parametres!$G$3),I862,C862)</f>
        <v>0</v>
      </c>
      <c r="O862" s="1122">
        <f>+IF(OR($Q862=Parametres!$G$2,$Q862=Parametres!$G$3),J862,D862)</f>
        <v>0</v>
      </c>
      <c r="P862" s="155">
        <f>+IF(OR($Q862=Parametres!$G$2,$Q862=Parametres!$G$3),K862,E862)</f>
        <v>0</v>
      </c>
      <c r="Q862" s="154">
        <f t="shared" si="67"/>
        <v>0</v>
      </c>
      <c r="R862" s="153">
        <f t="shared" si="68"/>
        <v>0</v>
      </c>
      <c r="S862" s="154">
        <f t="shared" si="69"/>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hidden="1" customHeight="1">
      <c r="A863" s="157"/>
      <c r="B863" s="158"/>
      <c r="C863" s="159"/>
      <c r="D863" s="157"/>
      <c r="E863" s="157"/>
      <c r="F863" s="157"/>
      <c r="G863" s="157"/>
      <c r="H863" s="157"/>
      <c r="I863" s="157"/>
      <c r="J863" s="157"/>
      <c r="K863" s="157"/>
      <c r="L863" s="153">
        <f t="shared" si="65"/>
        <v>0</v>
      </c>
      <c r="M863" s="154">
        <f t="shared" si="66"/>
        <v>0</v>
      </c>
      <c r="N863" s="155">
        <f>+IF(OR($Q863=Parametres!$G$2,$Q863=Parametres!$G$3),I863,C863)</f>
        <v>0</v>
      </c>
      <c r="O863" s="1122">
        <f>+IF(OR($Q863=Parametres!$G$2,$Q863=Parametres!$G$3),J863,D863)</f>
        <v>0</v>
      </c>
      <c r="P863" s="155">
        <f>+IF(OR($Q863=Parametres!$G$2,$Q863=Parametres!$G$3),K863,E863)</f>
        <v>0</v>
      </c>
      <c r="Q863" s="154">
        <f t="shared" si="67"/>
        <v>0</v>
      </c>
      <c r="R863" s="153">
        <f t="shared" si="68"/>
        <v>0</v>
      </c>
      <c r="S863" s="154">
        <f t="shared" si="69"/>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hidden="1" customHeight="1">
      <c r="A864" s="157"/>
      <c r="B864" s="158"/>
      <c r="C864" s="159"/>
      <c r="D864" s="157"/>
      <c r="E864" s="157"/>
      <c r="F864" s="157"/>
      <c r="G864" s="157"/>
      <c r="H864" s="157"/>
      <c r="I864" s="157"/>
      <c r="J864" s="157"/>
      <c r="K864" s="157"/>
      <c r="L864" s="153">
        <f t="shared" si="65"/>
        <v>0</v>
      </c>
      <c r="M864" s="154">
        <f t="shared" si="66"/>
        <v>0</v>
      </c>
      <c r="N864" s="155">
        <f>+IF(OR($Q864=Parametres!$G$2,$Q864=Parametres!$G$3),I864,C864)</f>
        <v>0</v>
      </c>
      <c r="O864" s="1122">
        <f>+IF(OR($Q864=Parametres!$G$2,$Q864=Parametres!$G$3),J864,D864)</f>
        <v>0</v>
      </c>
      <c r="P864" s="155">
        <f>+IF(OR($Q864=Parametres!$G$2,$Q864=Parametres!$G$3),K864,E864)</f>
        <v>0</v>
      </c>
      <c r="Q864" s="154">
        <f t="shared" si="67"/>
        <v>0</v>
      </c>
      <c r="R864" s="153">
        <f t="shared" si="68"/>
        <v>0</v>
      </c>
      <c r="S864" s="154">
        <f t="shared" si="69"/>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hidden="1" customHeight="1">
      <c r="A865" s="157"/>
      <c r="B865" s="158"/>
      <c r="C865" s="159"/>
      <c r="D865" s="157"/>
      <c r="E865" s="157"/>
      <c r="F865" s="157"/>
      <c r="G865" s="157"/>
      <c r="H865" s="157"/>
      <c r="I865" s="157"/>
      <c r="J865" s="157"/>
      <c r="K865" s="157"/>
      <c r="L865" s="153">
        <f t="shared" si="65"/>
        <v>0</v>
      </c>
      <c r="M865" s="154">
        <f t="shared" si="66"/>
        <v>0</v>
      </c>
      <c r="N865" s="155">
        <f>+IF(OR($Q865=Parametres!$G$2,$Q865=Parametres!$G$3),I865,C865)</f>
        <v>0</v>
      </c>
      <c r="O865" s="1122">
        <f>+IF(OR($Q865=Parametres!$G$2,$Q865=Parametres!$G$3),J865,D865)</f>
        <v>0</v>
      </c>
      <c r="P865" s="155">
        <f>+IF(OR($Q865=Parametres!$G$2,$Q865=Parametres!$G$3),K865,E865)</f>
        <v>0</v>
      </c>
      <c r="Q865" s="154">
        <f t="shared" si="67"/>
        <v>0</v>
      </c>
      <c r="R865" s="153">
        <f t="shared" si="68"/>
        <v>0</v>
      </c>
      <c r="S865" s="154">
        <f t="shared" si="69"/>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hidden="1" customHeight="1">
      <c r="A866" s="157"/>
      <c r="B866" s="158"/>
      <c r="C866" s="159"/>
      <c r="D866" s="157"/>
      <c r="E866" s="157"/>
      <c r="F866" s="157"/>
      <c r="G866" s="157"/>
      <c r="H866" s="157"/>
      <c r="I866" s="157"/>
      <c r="J866" s="157"/>
      <c r="K866" s="157"/>
      <c r="L866" s="153">
        <f t="shared" si="65"/>
        <v>0</v>
      </c>
      <c r="M866" s="154">
        <f t="shared" si="66"/>
        <v>0</v>
      </c>
      <c r="N866" s="155">
        <f>+IF(OR($Q866=Parametres!$G$2,$Q866=Parametres!$G$3),I866,C866)</f>
        <v>0</v>
      </c>
      <c r="O866" s="1122">
        <f>+IF(OR($Q866=Parametres!$G$2,$Q866=Parametres!$G$3),J866,D866)</f>
        <v>0</v>
      </c>
      <c r="P866" s="155">
        <f>+IF(OR($Q866=Parametres!$G$2,$Q866=Parametres!$G$3),K866,E866)</f>
        <v>0</v>
      </c>
      <c r="Q866" s="154">
        <f t="shared" si="67"/>
        <v>0</v>
      </c>
      <c r="R866" s="153">
        <f t="shared" si="68"/>
        <v>0</v>
      </c>
      <c r="S866" s="154">
        <f t="shared" si="69"/>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hidden="1" customHeight="1">
      <c r="A867" s="157"/>
      <c r="B867" s="158"/>
      <c r="C867" s="159"/>
      <c r="D867" s="157"/>
      <c r="E867" s="157"/>
      <c r="F867" s="157"/>
      <c r="G867" s="157"/>
      <c r="H867" s="157"/>
      <c r="I867" s="157"/>
      <c r="J867" s="157"/>
      <c r="K867" s="157"/>
      <c r="L867" s="153">
        <f t="shared" si="65"/>
        <v>0</v>
      </c>
      <c r="M867" s="154">
        <f t="shared" si="66"/>
        <v>0</v>
      </c>
      <c r="N867" s="155">
        <f>+IF(OR($Q867=Parametres!$G$2,$Q867=Parametres!$G$3),I867,C867)</f>
        <v>0</v>
      </c>
      <c r="O867" s="1122">
        <f>+IF(OR($Q867=Parametres!$G$2,$Q867=Parametres!$G$3),J867,D867)</f>
        <v>0</v>
      </c>
      <c r="P867" s="155">
        <f>+IF(OR($Q867=Parametres!$G$2,$Q867=Parametres!$G$3),K867,E867)</f>
        <v>0</v>
      </c>
      <c r="Q867" s="154">
        <f t="shared" si="67"/>
        <v>0</v>
      </c>
      <c r="R867" s="153">
        <f t="shared" si="68"/>
        <v>0</v>
      </c>
      <c r="S867" s="154">
        <f t="shared" si="69"/>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hidden="1" customHeight="1">
      <c r="A868" s="157"/>
      <c r="B868" s="158"/>
      <c r="C868" s="159"/>
      <c r="D868" s="157"/>
      <c r="E868" s="157"/>
      <c r="F868" s="157"/>
      <c r="G868" s="157"/>
      <c r="H868" s="157"/>
      <c r="I868" s="157"/>
      <c r="J868" s="157"/>
      <c r="K868" s="157"/>
      <c r="L868" s="153">
        <f t="shared" si="65"/>
        <v>0</v>
      </c>
      <c r="M868" s="154">
        <f t="shared" si="66"/>
        <v>0</v>
      </c>
      <c r="N868" s="155">
        <f>+IF(OR($Q868=Parametres!$G$2,$Q868=Parametres!$G$3),I868,C868)</f>
        <v>0</v>
      </c>
      <c r="O868" s="1122">
        <f>+IF(OR($Q868=Parametres!$G$2,$Q868=Parametres!$G$3),J868,D868)</f>
        <v>0</v>
      </c>
      <c r="P868" s="155">
        <f>+IF(OR($Q868=Parametres!$G$2,$Q868=Parametres!$G$3),K868,E868)</f>
        <v>0</v>
      </c>
      <c r="Q868" s="154">
        <f t="shared" si="67"/>
        <v>0</v>
      </c>
      <c r="R868" s="153">
        <f t="shared" si="68"/>
        <v>0</v>
      </c>
      <c r="S868" s="154">
        <f t="shared" si="69"/>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hidden="1" customHeight="1">
      <c r="A869" s="157"/>
      <c r="B869" s="158"/>
      <c r="C869" s="159"/>
      <c r="D869" s="157"/>
      <c r="E869" s="157"/>
      <c r="F869" s="157"/>
      <c r="G869" s="157"/>
      <c r="H869" s="157"/>
      <c r="I869" s="157"/>
      <c r="J869" s="157"/>
      <c r="K869" s="157"/>
      <c r="L869" s="153">
        <f t="shared" si="65"/>
        <v>0</v>
      </c>
      <c r="M869" s="154">
        <f t="shared" si="66"/>
        <v>0</v>
      </c>
      <c r="N869" s="155">
        <f>+IF(OR($Q869=Parametres!$G$2,$Q869=Parametres!$G$3),I869,C869)</f>
        <v>0</v>
      </c>
      <c r="O869" s="1122">
        <f>+IF(OR($Q869=Parametres!$G$2,$Q869=Parametres!$G$3),J869,D869)</f>
        <v>0</v>
      </c>
      <c r="P869" s="155">
        <f>+IF(OR($Q869=Parametres!$G$2,$Q869=Parametres!$G$3),K869,E869)</f>
        <v>0</v>
      </c>
      <c r="Q869" s="154">
        <f t="shared" si="67"/>
        <v>0</v>
      </c>
      <c r="R869" s="153">
        <f t="shared" si="68"/>
        <v>0</v>
      </c>
      <c r="S869" s="154">
        <f t="shared" si="69"/>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hidden="1" customHeight="1">
      <c r="A870" s="157"/>
      <c r="B870" s="158"/>
      <c r="C870" s="159"/>
      <c r="D870" s="157"/>
      <c r="E870" s="157"/>
      <c r="F870" s="157"/>
      <c r="G870" s="157"/>
      <c r="H870" s="157"/>
      <c r="I870" s="157"/>
      <c r="J870" s="157"/>
      <c r="K870" s="157"/>
      <c r="L870" s="153">
        <f t="shared" si="65"/>
        <v>0</v>
      </c>
      <c r="M870" s="154">
        <f t="shared" si="66"/>
        <v>0</v>
      </c>
      <c r="N870" s="155">
        <f>+IF(OR($Q870=Parametres!$G$2,$Q870=Parametres!$G$3),I870,C870)</f>
        <v>0</v>
      </c>
      <c r="O870" s="1122">
        <f>+IF(OR($Q870=Parametres!$G$2,$Q870=Parametres!$G$3),J870,D870)</f>
        <v>0</v>
      </c>
      <c r="P870" s="155">
        <f>+IF(OR($Q870=Parametres!$G$2,$Q870=Parametres!$G$3),K870,E870)</f>
        <v>0</v>
      </c>
      <c r="Q870" s="154">
        <f t="shared" si="67"/>
        <v>0</v>
      </c>
      <c r="R870" s="153">
        <f t="shared" si="68"/>
        <v>0</v>
      </c>
      <c r="S870" s="154">
        <f t="shared" si="69"/>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hidden="1" customHeight="1">
      <c r="A871" s="157"/>
      <c r="B871" s="158"/>
      <c r="C871" s="159"/>
      <c r="D871" s="157"/>
      <c r="E871" s="157"/>
      <c r="F871" s="157"/>
      <c r="G871" s="157"/>
      <c r="H871" s="157"/>
      <c r="I871" s="157"/>
      <c r="J871" s="157"/>
      <c r="K871" s="157"/>
      <c r="L871" s="153">
        <f t="shared" si="65"/>
        <v>0</v>
      </c>
      <c r="M871" s="154">
        <f t="shared" si="66"/>
        <v>0</v>
      </c>
      <c r="N871" s="155">
        <f>+IF(OR($Q871=Parametres!$G$2,$Q871=Parametres!$G$3),I871,C871)</f>
        <v>0</v>
      </c>
      <c r="O871" s="1122">
        <f>+IF(OR($Q871=Parametres!$G$2,$Q871=Parametres!$G$3),J871,D871)</f>
        <v>0</v>
      </c>
      <c r="P871" s="155">
        <f>+IF(OR($Q871=Parametres!$G$2,$Q871=Parametres!$G$3),K871,E871)</f>
        <v>0</v>
      </c>
      <c r="Q871" s="154">
        <f t="shared" si="67"/>
        <v>0</v>
      </c>
      <c r="R871" s="153">
        <f t="shared" si="68"/>
        <v>0</v>
      </c>
      <c r="S871" s="154">
        <f t="shared" si="69"/>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hidden="1" customHeight="1">
      <c r="A872" s="157"/>
      <c r="B872" s="158"/>
      <c r="C872" s="159"/>
      <c r="D872" s="157"/>
      <c r="E872" s="157"/>
      <c r="F872" s="157"/>
      <c r="G872" s="157"/>
      <c r="H872" s="157"/>
      <c r="I872" s="157"/>
      <c r="J872" s="157"/>
      <c r="K872" s="157"/>
      <c r="L872" s="153">
        <f t="shared" si="65"/>
        <v>0</v>
      </c>
      <c r="M872" s="154">
        <f t="shared" si="66"/>
        <v>0</v>
      </c>
      <c r="N872" s="155">
        <f>+IF(OR($Q872=Parametres!$G$2,$Q872=Parametres!$G$3),I872,C872)</f>
        <v>0</v>
      </c>
      <c r="O872" s="1122">
        <f>+IF(OR($Q872=Parametres!$G$2,$Q872=Parametres!$G$3),J872,D872)</f>
        <v>0</v>
      </c>
      <c r="P872" s="155">
        <f>+IF(OR($Q872=Parametres!$G$2,$Q872=Parametres!$G$3),K872,E872)</f>
        <v>0</v>
      </c>
      <c r="Q872" s="154">
        <f t="shared" si="67"/>
        <v>0</v>
      </c>
      <c r="R872" s="153">
        <f t="shared" si="68"/>
        <v>0</v>
      </c>
      <c r="S872" s="154">
        <f t="shared" si="69"/>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hidden="1" customHeight="1">
      <c r="A873" s="157"/>
      <c r="B873" s="158"/>
      <c r="C873" s="159"/>
      <c r="D873" s="157"/>
      <c r="E873" s="157"/>
      <c r="F873" s="157"/>
      <c r="G873" s="157"/>
      <c r="H873" s="157"/>
      <c r="I873" s="157"/>
      <c r="J873" s="157"/>
      <c r="K873" s="157"/>
      <c r="L873" s="153">
        <f t="shared" si="65"/>
        <v>0</v>
      </c>
      <c r="M873" s="154">
        <f t="shared" si="66"/>
        <v>0</v>
      </c>
      <c r="N873" s="155">
        <f>+IF(OR($Q873=Parametres!$G$2,$Q873=Parametres!$G$3),I873,C873)</f>
        <v>0</v>
      </c>
      <c r="O873" s="1122">
        <f>+IF(OR($Q873=Parametres!$G$2,$Q873=Parametres!$G$3),J873,D873)</f>
        <v>0</v>
      </c>
      <c r="P873" s="155">
        <f>+IF(OR($Q873=Parametres!$G$2,$Q873=Parametres!$G$3),K873,E873)</f>
        <v>0</v>
      </c>
      <c r="Q873" s="154">
        <f t="shared" si="67"/>
        <v>0</v>
      </c>
      <c r="R873" s="153">
        <f t="shared" si="68"/>
        <v>0</v>
      </c>
      <c r="S873" s="154">
        <f t="shared" si="69"/>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hidden="1" customHeight="1">
      <c r="A874" s="157"/>
      <c r="B874" s="158"/>
      <c r="C874" s="159"/>
      <c r="D874" s="157"/>
      <c r="E874" s="157"/>
      <c r="F874" s="157"/>
      <c r="G874" s="157"/>
      <c r="H874" s="157"/>
      <c r="I874" s="157"/>
      <c r="J874" s="157"/>
      <c r="K874" s="157"/>
      <c r="L874" s="153">
        <f t="shared" si="65"/>
        <v>0</v>
      </c>
      <c r="M874" s="154">
        <f t="shared" si="66"/>
        <v>0</v>
      </c>
      <c r="N874" s="155">
        <f>+IF(OR($Q874=Parametres!$G$2,$Q874=Parametres!$G$3),I874,C874)</f>
        <v>0</v>
      </c>
      <c r="O874" s="1122">
        <f>+IF(OR($Q874=Parametres!$G$2,$Q874=Parametres!$G$3),J874,D874)</f>
        <v>0</v>
      </c>
      <c r="P874" s="155">
        <f>+IF(OR($Q874=Parametres!$G$2,$Q874=Parametres!$G$3),K874,E874)</f>
        <v>0</v>
      </c>
      <c r="Q874" s="154">
        <f t="shared" si="67"/>
        <v>0</v>
      </c>
      <c r="R874" s="153">
        <f t="shared" si="68"/>
        <v>0</v>
      </c>
      <c r="S874" s="154">
        <f t="shared" si="69"/>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hidden="1" customHeight="1">
      <c r="A875" s="157"/>
      <c r="B875" s="158"/>
      <c r="C875" s="159"/>
      <c r="D875" s="157"/>
      <c r="E875" s="157"/>
      <c r="F875" s="157"/>
      <c r="G875" s="157"/>
      <c r="H875" s="157"/>
      <c r="I875" s="157"/>
      <c r="J875" s="157"/>
      <c r="K875" s="157"/>
      <c r="L875" s="153">
        <f t="shared" si="65"/>
        <v>0</v>
      </c>
      <c r="M875" s="154">
        <f t="shared" si="66"/>
        <v>0</v>
      </c>
      <c r="N875" s="155">
        <f>+IF(OR($Q875=Parametres!$G$2,$Q875=Parametres!$G$3),I875,C875)</f>
        <v>0</v>
      </c>
      <c r="O875" s="1122">
        <f>+IF(OR($Q875=Parametres!$G$2,$Q875=Parametres!$G$3),J875,D875)</f>
        <v>0</v>
      </c>
      <c r="P875" s="155">
        <f>+IF(OR($Q875=Parametres!$G$2,$Q875=Parametres!$G$3),K875,E875)</f>
        <v>0</v>
      </c>
      <c r="Q875" s="154">
        <f t="shared" si="67"/>
        <v>0</v>
      </c>
      <c r="R875" s="153">
        <f t="shared" si="68"/>
        <v>0</v>
      </c>
      <c r="S875" s="154">
        <f t="shared" si="69"/>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hidden="1" customHeight="1">
      <c r="A876" s="157"/>
      <c r="B876" s="158"/>
      <c r="C876" s="159"/>
      <c r="D876" s="157"/>
      <c r="E876" s="157"/>
      <c r="F876" s="157"/>
      <c r="G876" s="157"/>
      <c r="H876" s="157"/>
      <c r="I876" s="157"/>
      <c r="J876" s="157"/>
      <c r="K876" s="157"/>
      <c r="L876" s="153">
        <f t="shared" si="65"/>
        <v>0</v>
      </c>
      <c r="M876" s="154">
        <f t="shared" si="66"/>
        <v>0</v>
      </c>
      <c r="N876" s="155">
        <f>+IF(OR($Q876=Parametres!$G$2,$Q876=Parametres!$G$3),I876,C876)</f>
        <v>0</v>
      </c>
      <c r="O876" s="1122">
        <f>+IF(OR($Q876=Parametres!$G$2,$Q876=Parametres!$G$3),J876,D876)</f>
        <v>0</v>
      </c>
      <c r="P876" s="155">
        <f>+IF(OR($Q876=Parametres!$G$2,$Q876=Parametres!$G$3),K876,E876)</f>
        <v>0</v>
      </c>
      <c r="Q876" s="154">
        <f t="shared" si="67"/>
        <v>0</v>
      </c>
      <c r="R876" s="153">
        <f t="shared" si="68"/>
        <v>0</v>
      </c>
      <c r="S876" s="154">
        <f t="shared" si="69"/>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hidden="1" customHeight="1">
      <c r="A877" s="157"/>
      <c r="B877" s="158"/>
      <c r="C877" s="159"/>
      <c r="D877" s="157"/>
      <c r="E877" s="157"/>
      <c r="F877" s="157"/>
      <c r="G877" s="157"/>
      <c r="H877" s="157"/>
      <c r="I877" s="157"/>
      <c r="J877" s="157"/>
      <c r="K877" s="157"/>
      <c r="L877" s="153">
        <f t="shared" si="65"/>
        <v>0</v>
      </c>
      <c r="M877" s="154">
        <f t="shared" si="66"/>
        <v>0</v>
      </c>
      <c r="N877" s="155">
        <f>+IF(OR($Q877=Parametres!$G$2,$Q877=Parametres!$G$3),I877,C877)</f>
        <v>0</v>
      </c>
      <c r="O877" s="1122">
        <f>+IF(OR($Q877=Parametres!$G$2,$Q877=Parametres!$G$3),J877,D877)</f>
        <v>0</v>
      </c>
      <c r="P877" s="155">
        <f>+IF(OR($Q877=Parametres!$G$2,$Q877=Parametres!$G$3),K877,E877)</f>
        <v>0</v>
      </c>
      <c r="Q877" s="154">
        <f t="shared" si="67"/>
        <v>0</v>
      </c>
      <c r="R877" s="153">
        <f t="shared" si="68"/>
        <v>0</v>
      </c>
      <c r="S877" s="154">
        <f t="shared" si="69"/>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hidden="1" customHeight="1">
      <c r="A878" s="157"/>
      <c r="B878" s="158"/>
      <c r="C878" s="159"/>
      <c r="D878" s="157"/>
      <c r="E878" s="157"/>
      <c r="F878" s="157"/>
      <c r="G878" s="157"/>
      <c r="H878" s="157"/>
      <c r="I878" s="157"/>
      <c r="J878" s="157"/>
      <c r="K878" s="157"/>
      <c r="L878" s="153">
        <f t="shared" si="65"/>
        <v>0</v>
      </c>
      <c r="M878" s="154">
        <f t="shared" si="66"/>
        <v>0</v>
      </c>
      <c r="N878" s="155">
        <f>+IF(OR($Q878=Parametres!$G$2,$Q878=Parametres!$G$3),I878,C878)</f>
        <v>0</v>
      </c>
      <c r="O878" s="1122">
        <f>+IF(OR($Q878=Parametres!$G$2,$Q878=Parametres!$G$3),J878,D878)</f>
        <v>0</v>
      </c>
      <c r="P878" s="155">
        <f>+IF(OR($Q878=Parametres!$G$2,$Q878=Parametres!$G$3),K878,E878)</f>
        <v>0</v>
      </c>
      <c r="Q878" s="154">
        <f t="shared" si="67"/>
        <v>0</v>
      </c>
      <c r="R878" s="153">
        <f t="shared" si="68"/>
        <v>0</v>
      </c>
      <c r="S878" s="154">
        <f t="shared" si="69"/>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hidden="1" customHeight="1">
      <c r="A879" s="157"/>
      <c r="B879" s="158"/>
      <c r="C879" s="159"/>
      <c r="D879" s="157"/>
      <c r="E879" s="157"/>
      <c r="F879" s="157"/>
      <c r="G879" s="157"/>
      <c r="H879" s="157"/>
      <c r="I879" s="157"/>
      <c r="J879" s="157"/>
      <c r="K879" s="157"/>
      <c r="L879" s="153">
        <f t="shared" si="65"/>
        <v>0</v>
      </c>
      <c r="M879" s="154">
        <f t="shared" si="66"/>
        <v>0</v>
      </c>
      <c r="N879" s="155">
        <f>+IF(OR($Q879=Parametres!$G$2,$Q879=Parametres!$G$3),I879,C879)</f>
        <v>0</v>
      </c>
      <c r="O879" s="1122">
        <f>+IF(OR($Q879=Parametres!$G$2,$Q879=Parametres!$G$3),J879,D879)</f>
        <v>0</v>
      </c>
      <c r="P879" s="155">
        <f>+IF(OR($Q879=Parametres!$G$2,$Q879=Parametres!$G$3),K879,E879)</f>
        <v>0</v>
      </c>
      <c r="Q879" s="154">
        <f t="shared" si="67"/>
        <v>0</v>
      </c>
      <c r="R879" s="153">
        <f t="shared" si="68"/>
        <v>0</v>
      </c>
      <c r="S879" s="154">
        <f t="shared" si="69"/>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hidden="1" customHeight="1">
      <c r="A880" s="157"/>
      <c r="B880" s="158"/>
      <c r="C880" s="159"/>
      <c r="D880" s="157"/>
      <c r="E880" s="157"/>
      <c r="F880" s="157"/>
      <c r="G880" s="157"/>
      <c r="H880" s="157"/>
      <c r="I880" s="157"/>
      <c r="J880" s="157"/>
      <c r="K880" s="157"/>
      <c r="L880" s="153">
        <f t="shared" si="65"/>
        <v>0</v>
      </c>
      <c r="M880" s="154">
        <f t="shared" si="66"/>
        <v>0</v>
      </c>
      <c r="N880" s="155">
        <f>+IF(OR($Q880=Parametres!$G$2,$Q880=Parametres!$G$3),I880,C880)</f>
        <v>0</v>
      </c>
      <c r="O880" s="1122">
        <f>+IF(OR($Q880=Parametres!$G$2,$Q880=Parametres!$G$3),J880,D880)</f>
        <v>0</v>
      </c>
      <c r="P880" s="155">
        <f>+IF(OR($Q880=Parametres!$G$2,$Q880=Parametres!$G$3),K880,E880)</f>
        <v>0</v>
      </c>
      <c r="Q880" s="154">
        <f t="shared" si="67"/>
        <v>0</v>
      </c>
      <c r="R880" s="153">
        <f t="shared" si="68"/>
        <v>0</v>
      </c>
      <c r="S880" s="154">
        <f t="shared" si="69"/>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hidden="1" customHeight="1">
      <c r="A881" s="157"/>
      <c r="B881" s="158"/>
      <c r="C881" s="159"/>
      <c r="D881" s="157"/>
      <c r="E881" s="157"/>
      <c r="F881" s="157"/>
      <c r="G881" s="157"/>
      <c r="H881" s="157"/>
      <c r="I881" s="157"/>
      <c r="J881" s="157"/>
      <c r="K881" s="157"/>
      <c r="L881" s="153">
        <f t="shared" si="65"/>
        <v>0</v>
      </c>
      <c r="M881" s="154">
        <f t="shared" si="66"/>
        <v>0</v>
      </c>
      <c r="N881" s="155">
        <f>+IF(OR($Q881=Parametres!$G$2,$Q881=Parametres!$G$3),I881,C881)</f>
        <v>0</v>
      </c>
      <c r="O881" s="1122">
        <f>+IF(OR($Q881=Parametres!$G$2,$Q881=Parametres!$G$3),J881,D881)</f>
        <v>0</v>
      </c>
      <c r="P881" s="155">
        <f>+IF(OR($Q881=Parametres!$G$2,$Q881=Parametres!$G$3),K881,E881)</f>
        <v>0</v>
      </c>
      <c r="Q881" s="154">
        <f t="shared" si="67"/>
        <v>0</v>
      </c>
      <c r="R881" s="153">
        <f t="shared" si="68"/>
        <v>0</v>
      </c>
      <c r="S881" s="154">
        <f t="shared" si="69"/>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hidden="1" customHeight="1">
      <c r="A882" s="157"/>
      <c r="B882" s="158"/>
      <c r="C882" s="159"/>
      <c r="D882" s="157"/>
      <c r="E882" s="157"/>
      <c r="F882" s="157"/>
      <c r="G882" s="157"/>
      <c r="H882" s="157"/>
      <c r="I882" s="157"/>
      <c r="J882" s="157"/>
      <c r="K882" s="157"/>
      <c r="L882" s="153">
        <f t="shared" si="65"/>
        <v>0</v>
      </c>
      <c r="M882" s="154">
        <f t="shared" si="66"/>
        <v>0</v>
      </c>
      <c r="N882" s="155">
        <f>+IF(OR($Q882=Parametres!$G$2,$Q882=Parametres!$G$3),I882,C882)</f>
        <v>0</v>
      </c>
      <c r="O882" s="1122">
        <f>+IF(OR($Q882=Parametres!$G$2,$Q882=Parametres!$G$3),J882,D882)</f>
        <v>0</v>
      </c>
      <c r="P882" s="155">
        <f>+IF(OR($Q882=Parametres!$G$2,$Q882=Parametres!$G$3),K882,E882)</f>
        <v>0</v>
      </c>
      <c r="Q882" s="154">
        <f t="shared" si="67"/>
        <v>0</v>
      </c>
      <c r="R882" s="153">
        <f t="shared" si="68"/>
        <v>0</v>
      </c>
      <c r="S882" s="154">
        <f t="shared" si="69"/>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hidden="1" customHeight="1">
      <c r="A883" s="157"/>
      <c r="B883" s="158"/>
      <c r="C883" s="159"/>
      <c r="D883" s="157"/>
      <c r="E883" s="157"/>
      <c r="F883" s="157"/>
      <c r="G883" s="157"/>
      <c r="H883" s="157"/>
      <c r="I883" s="157"/>
      <c r="J883" s="157"/>
      <c r="K883" s="157"/>
      <c r="L883" s="153">
        <f t="shared" si="65"/>
        <v>0</v>
      </c>
      <c r="M883" s="154">
        <f t="shared" si="66"/>
        <v>0</v>
      </c>
      <c r="N883" s="155">
        <f>+IF(OR($Q883=Parametres!$G$2,$Q883=Parametres!$G$3),I883,C883)</f>
        <v>0</v>
      </c>
      <c r="O883" s="1122">
        <f>+IF(OR($Q883=Parametres!$G$2,$Q883=Parametres!$G$3),J883,D883)</f>
        <v>0</v>
      </c>
      <c r="P883" s="155">
        <f>+IF(OR($Q883=Parametres!$G$2,$Q883=Parametres!$G$3),K883,E883)</f>
        <v>0</v>
      </c>
      <c r="Q883" s="154">
        <f t="shared" si="67"/>
        <v>0</v>
      </c>
      <c r="R883" s="153">
        <f t="shared" si="68"/>
        <v>0</v>
      </c>
      <c r="S883" s="154">
        <f t="shared" si="69"/>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hidden="1" customHeight="1">
      <c r="A884" s="157"/>
      <c r="B884" s="158"/>
      <c r="C884" s="159"/>
      <c r="D884" s="157"/>
      <c r="E884" s="157"/>
      <c r="F884" s="157"/>
      <c r="G884" s="157"/>
      <c r="H884" s="157"/>
      <c r="I884" s="157"/>
      <c r="J884" s="157"/>
      <c r="K884" s="157"/>
      <c r="L884" s="153">
        <f t="shared" si="65"/>
        <v>0</v>
      </c>
      <c r="M884" s="154">
        <f t="shared" si="66"/>
        <v>0</v>
      </c>
      <c r="N884" s="155">
        <f>+IF(OR($Q884=Parametres!$G$2,$Q884=Parametres!$G$3),I884,C884)</f>
        <v>0</v>
      </c>
      <c r="O884" s="1122">
        <f>+IF(OR($Q884=Parametres!$G$2,$Q884=Parametres!$G$3),J884,D884)</f>
        <v>0</v>
      </c>
      <c r="P884" s="155">
        <f>+IF(OR($Q884=Parametres!$G$2,$Q884=Parametres!$G$3),K884,E884)</f>
        <v>0</v>
      </c>
      <c r="Q884" s="154">
        <f t="shared" si="67"/>
        <v>0</v>
      </c>
      <c r="R884" s="153">
        <f t="shared" si="68"/>
        <v>0</v>
      </c>
      <c r="S884" s="154">
        <f t="shared" si="69"/>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hidden="1" customHeight="1">
      <c r="A885" s="157"/>
      <c r="B885" s="158"/>
      <c r="C885" s="159"/>
      <c r="D885" s="157"/>
      <c r="E885" s="157"/>
      <c r="F885" s="157"/>
      <c r="G885" s="157"/>
      <c r="H885" s="157"/>
      <c r="I885" s="157"/>
      <c r="J885" s="157"/>
      <c r="K885" s="157"/>
      <c r="L885" s="153">
        <f t="shared" si="65"/>
        <v>0</v>
      </c>
      <c r="M885" s="154">
        <f t="shared" si="66"/>
        <v>0</v>
      </c>
      <c r="N885" s="155">
        <f>+IF(OR($Q885=Parametres!$G$2,$Q885=Parametres!$G$3),I885,C885)</f>
        <v>0</v>
      </c>
      <c r="O885" s="1122">
        <f>+IF(OR($Q885=Parametres!$G$2,$Q885=Parametres!$G$3),J885,D885)</f>
        <v>0</v>
      </c>
      <c r="P885" s="155">
        <f>+IF(OR($Q885=Parametres!$G$2,$Q885=Parametres!$G$3),K885,E885)</f>
        <v>0</v>
      </c>
      <c r="Q885" s="154">
        <f t="shared" si="67"/>
        <v>0</v>
      </c>
      <c r="R885" s="153">
        <f t="shared" si="68"/>
        <v>0</v>
      </c>
      <c r="S885" s="154">
        <f t="shared" si="69"/>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hidden="1" customHeight="1">
      <c r="A886" s="157"/>
      <c r="B886" s="158"/>
      <c r="C886" s="159"/>
      <c r="D886" s="157"/>
      <c r="E886" s="157"/>
      <c r="F886" s="157"/>
      <c r="G886" s="157"/>
      <c r="H886" s="157"/>
      <c r="I886" s="157"/>
      <c r="J886" s="157"/>
      <c r="K886" s="157"/>
      <c r="L886" s="153">
        <f t="shared" si="65"/>
        <v>0</v>
      </c>
      <c r="M886" s="154">
        <f t="shared" si="66"/>
        <v>0</v>
      </c>
      <c r="N886" s="155">
        <f>+IF(OR($Q886=Parametres!$G$2,$Q886=Parametres!$G$3),I886,C886)</f>
        <v>0</v>
      </c>
      <c r="O886" s="1122">
        <f>+IF(OR($Q886=Parametres!$G$2,$Q886=Parametres!$G$3),J886,D886)</f>
        <v>0</v>
      </c>
      <c r="P886" s="155">
        <f>+IF(OR($Q886=Parametres!$G$2,$Q886=Parametres!$G$3),K886,E886)</f>
        <v>0</v>
      </c>
      <c r="Q886" s="154">
        <f t="shared" si="67"/>
        <v>0</v>
      </c>
      <c r="R886" s="153">
        <f t="shared" si="68"/>
        <v>0</v>
      </c>
      <c r="S886" s="154">
        <f t="shared" si="69"/>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hidden="1" customHeight="1">
      <c r="A887" s="157"/>
      <c r="B887" s="158"/>
      <c r="C887" s="159"/>
      <c r="D887" s="157"/>
      <c r="E887" s="157"/>
      <c r="F887" s="157"/>
      <c r="G887" s="157"/>
      <c r="H887" s="157"/>
      <c r="I887" s="157"/>
      <c r="J887" s="157"/>
      <c r="K887" s="157"/>
      <c r="L887" s="153">
        <f t="shared" si="65"/>
        <v>0</v>
      </c>
      <c r="M887" s="154">
        <f t="shared" si="66"/>
        <v>0</v>
      </c>
      <c r="N887" s="155">
        <f>+IF(OR($Q887=Parametres!$G$2,$Q887=Parametres!$G$3),I887,C887)</f>
        <v>0</v>
      </c>
      <c r="O887" s="1122">
        <f>+IF(OR($Q887=Parametres!$G$2,$Q887=Parametres!$G$3),J887,D887)</f>
        <v>0</v>
      </c>
      <c r="P887" s="155">
        <f>+IF(OR($Q887=Parametres!$G$2,$Q887=Parametres!$G$3),K887,E887)</f>
        <v>0</v>
      </c>
      <c r="Q887" s="154">
        <f t="shared" si="67"/>
        <v>0</v>
      </c>
      <c r="R887" s="153">
        <f t="shared" si="68"/>
        <v>0</v>
      </c>
      <c r="S887" s="154">
        <f t="shared" si="69"/>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hidden="1" customHeight="1">
      <c r="A888" s="157"/>
      <c r="B888" s="158"/>
      <c r="C888" s="159"/>
      <c r="D888" s="157"/>
      <c r="E888" s="157"/>
      <c r="F888" s="157"/>
      <c r="G888" s="157"/>
      <c r="H888" s="157"/>
      <c r="I888" s="157"/>
      <c r="J888" s="157"/>
      <c r="K888" s="157"/>
      <c r="L888" s="153">
        <f t="shared" si="65"/>
        <v>0</v>
      </c>
      <c r="M888" s="154">
        <f t="shared" si="66"/>
        <v>0</v>
      </c>
      <c r="N888" s="155">
        <f>+IF(OR($Q888=Parametres!$G$2,$Q888=Parametres!$G$3),I888,C888)</f>
        <v>0</v>
      </c>
      <c r="O888" s="1122">
        <f>+IF(OR($Q888=Parametres!$G$2,$Q888=Parametres!$G$3),J888,D888)</f>
        <v>0</v>
      </c>
      <c r="P888" s="155">
        <f>+IF(OR($Q888=Parametres!$G$2,$Q888=Parametres!$G$3),K888,E888)</f>
        <v>0</v>
      </c>
      <c r="Q888" s="154">
        <f t="shared" si="67"/>
        <v>0</v>
      </c>
      <c r="R888" s="153">
        <f t="shared" si="68"/>
        <v>0</v>
      </c>
      <c r="S888" s="154">
        <f t="shared" si="69"/>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hidden="1" customHeight="1">
      <c r="A889" s="157"/>
      <c r="B889" s="158"/>
      <c r="C889" s="159"/>
      <c r="D889" s="157"/>
      <c r="E889" s="157"/>
      <c r="F889" s="157"/>
      <c r="G889" s="157"/>
      <c r="H889" s="157"/>
      <c r="I889" s="157"/>
      <c r="J889" s="157"/>
      <c r="K889" s="157"/>
      <c r="L889" s="153">
        <f t="shared" si="65"/>
        <v>0</v>
      </c>
      <c r="M889" s="154">
        <f t="shared" si="66"/>
        <v>0</v>
      </c>
      <c r="N889" s="155">
        <f>+IF(OR($Q889=Parametres!$G$2,$Q889=Parametres!$G$3),I889,C889)</f>
        <v>0</v>
      </c>
      <c r="O889" s="1122">
        <f>+IF(OR($Q889=Parametres!$G$2,$Q889=Parametres!$G$3),J889,D889)</f>
        <v>0</v>
      </c>
      <c r="P889" s="155">
        <f>+IF(OR($Q889=Parametres!$G$2,$Q889=Parametres!$G$3),K889,E889)</f>
        <v>0</v>
      </c>
      <c r="Q889" s="154">
        <f t="shared" si="67"/>
        <v>0</v>
      </c>
      <c r="R889" s="153">
        <f t="shared" si="68"/>
        <v>0</v>
      </c>
      <c r="S889" s="154">
        <f t="shared" si="69"/>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hidden="1" customHeight="1">
      <c r="A890" s="157"/>
      <c r="B890" s="158"/>
      <c r="C890" s="159"/>
      <c r="D890" s="157"/>
      <c r="E890" s="157"/>
      <c r="F890" s="157"/>
      <c r="G890" s="157"/>
      <c r="H890" s="157"/>
      <c r="I890" s="157"/>
      <c r="J890" s="157"/>
      <c r="K890" s="157"/>
      <c r="L890" s="153">
        <f t="shared" si="65"/>
        <v>0</v>
      </c>
      <c r="M890" s="154">
        <f t="shared" si="66"/>
        <v>0</v>
      </c>
      <c r="N890" s="155">
        <f>+IF(OR($Q890=Parametres!$G$2,$Q890=Parametres!$G$3),I890,C890)</f>
        <v>0</v>
      </c>
      <c r="O890" s="1122">
        <f>+IF(OR($Q890=Parametres!$G$2,$Q890=Parametres!$G$3),J890,D890)</f>
        <v>0</v>
      </c>
      <c r="P890" s="155">
        <f>+IF(OR($Q890=Parametres!$G$2,$Q890=Parametres!$G$3),K890,E890)</f>
        <v>0</v>
      </c>
      <c r="Q890" s="154">
        <f t="shared" si="67"/>
        <v>0</v>
      </c>
      <c r="R890" s="153">
        <f t="shared" si="68"/>
        <v>0</v>
      </c>
      <c r="S890" s="154">
        <f t="shared" si="69"/>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hidden="1" customHeight="1">
      <c r="A891" s="157"/>
      <c r="B891" s="158"/>
      <c r="C891" s="159"/>
      <c r="D891" s="157"/>
      <c r="E891" s="157"/>
      <c r="F891" s="157"/>
      <c r="G891" s="157"/>
      <c r="H891" s="157"/>
      <c r="I891" s="157"/>
      <c r="J891" s="157"/>
      <c r="K891" s="157"/>
      <c r="L891" s="153">
        <f t="shared" si="65"/>
        <v>0</v>
      </c>
      <c r="M891" s="154">
        <f t="shared" si="66"/>
        <v>0</v>
      </c>
      <c r="N891" s="155">
        <f>+IF(OR($Q891=Parametres!$G$2,$Q891=Parametres!$G$3),I891,C891)</f>
        <v>0</v>
      </c>
      <c r="O891" s="1122">
        <f>+IF(OR($Q891=Parametres!$G$2,$Q891=Parametres!$G$3),J891,D891)</f>
        <v>0</v>
      </c>
      <c r="P891" s="155">
        <f>+IF(OR($Q891=Parametres!$G$2,$Q891=Parametres!$G$3),K891,E891)</f>
        <v>0</v>
      </c>
      <c r="Q891" s="154">
        <f t="shared" si="67"/>
        <v>0</v>
      </c>
      <c r="R891" s="153">
        <f t="shared" si="68"/>
        <v>0</v>
      </c>
      <c r="S891" s="154">
        <f t="shared" si="69"/>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hidden="1" customHeight="1">
      <c r="A892" s="157"/>
      <c r="B892" s="158"/>
      <c r="C892" s="159"/>
      <c r="D892" s="157"/>
      <c r="E892" s="157"/>
      <c r="F892" s="157"/>
      <c r="G892" s="157"/>
      <c r="H892" s="157"/>
      <c r="I892" s="157"/>
      <c r="J892" s="157"/>
      <c r="K892" s="157"/>
      <c r="L892" s="153">
        <f t="shared" si="65"/>
        <v>0</v>
      </c>
      <c r="M892" s="154">
        <f t="shared" si="66"/>
        <v>0</v>
      </c>
      <c r="N892" s="155">
        <f>+IF(OR($Q892=Parametres!$G$2,$Q892=Parametres!$G$3),I892,C892)</f>
        <v>0</v>
      </c>
      <c r="O892" s="1122">
        <f>+IF(OR($Q892=Parametres!$G$2,$Q892=Parametres!$G$3),J892,D892)</f>
        <v>0</v>
      </c>
      <c r="P892" s="155">
        <f>+IF(OR($Q892=Parametres!$G$2,$Q892=Parametres!$G$3),K892,E892)</f>
        <v>0</v>
      </c>
      <c r="Q892" s="154">
        <f t="shared" si="67"/>
        <v>0</v>
      </c>
      <c r="R892" s="153">
        <f t="shared" si="68"/>
        <v>0</v>
      </c>
      <c r="S892" s="154">
        <f t="shared" si="69"/>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hidden="1" customHeight="1">
      <c r="A893" s="157"/>
      <c r="B893" s="158"/>
      <c r="C893" s="159"/>
      <c r="D893" s="157"/>
      <c r="E893" s="157"/>
      <c r="F893" s="157"/>
      <c r="G893" s="157"/>
      <c r="H893" s="157"/>
      <c r="I893" s="157"/>
      <c r="J893" s="157"/>
      <c r="K893" s="157"/>
      <c r="L893" s="153">
        <f t="shared" si="65"/>
        <v>0</v>
      </c>
      <c r="M893" s="154">
        <f t="shared" si="66"/>
        <v>0</v>
      </c>
      <c r="N893" s="155">
        <f>+IF(OR($Q893=Parametres!$G$2,$Q893=Parametres!$G$3),I893,C893)</f>
        <v>0</v>
      </c>
      <c r="O893" s="1122">
        <f>+IF(OR($Q893=Parametres!$G$2,$Q893=Parametres!$G$3),J893,D893)</f>
        <v>0</v>
      </c>
      <c r="P893" s="155">
        <f>+IF(OR($Q893=Parametres!$G$2,$Q893=Parametres!$G$3),K893,E893)</f>
        <v>0</v>
      </c>
      <c r="Q893" s="154">
        <f t="shared" si="67"/>
        <v>0</v>
      </c>
      <c r="R893" s="153">
        <f t="shared" si="68"/>
        <v>0</v>
      </c>
      <c r="S893" s="154">
        <f t="shared" si="69"/>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hidden="1" customHeight="1">
      <c r="A894" s="157"/>
      <c r="B894" s="158"/>
      <c r="C894" s="159"/>
      <c r="D894" s="157"/>
      <c r="E894" s="157"/>
      <c r="F894" s="157"/>
      <c r="G894" s="157"/>
      <c r="H894" s="157"/>
      <c r="I894" s="157"/>
      <c r="J894" s="157"/>
      <c r="K894" s="157"/>
      <c r="L894" s="153">
        <f t="shared" si="65"/>
        <v>0</v>
      </c>
      <c r="M894" s="154">
        <f t="shared" si="66"/>
        <v>0</v>
      </c>
      <c r="N894" s="155">
        <f>+IF(OR($Q894=Parametres!$G$2,$Q894=Parametres!$G$3),I894,C894)</f>
        <v>0</v>
      </c>
      <c r="O894" s="1122">
        <f>+IF(OR($Q894=Parametres!$G$2,$Q894=Parametres!$G$3),J894,D894)</f>
        <v>0</v>
      </c>
      <c r="P894" s="155">
        <f>+IF(OR($Q894=Parametres!$G$2,$Q894=Parametres!$G$3),K894,E894)</f>
        <v>0</v>
      </c>
      <c r="Q894" s="154">
        <f t="shared" si="67"/>
        <v>0</v>
      </c>
      <c r="R894" s="153">
        <f t="shared" si="68"/>
        <v>0</v>
      </c>
      <c r="S894" s="154">
        <f t="shared" si="69"/>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hidden="1" customHeight="1">
      <c r="A895" s="157"/>
      <c r="B895" s="158"/>
      <c r="C895" s="159"/>
      <c r="D895" s="157"/>
      <c r="E895" s="157"/>
      <c r="F895" s="157"/>
      <c r="G895" s="157"/>
      <c r="H895" s="157"/>
      <c r="I895" s="157"/>
      <c r="J895" s="157"/>
      <c r="K895" s="157"/>
      <c r="L895" s="153">
        <f t="shared" si="65"/>
        <v>0</v>
      </c>
      <c r="M895" s="154">
        <f t="shared" si="66"/>
        <v>0</v>
      </c>
      <c r="N895" s="155">
        <f>+IF(OR($Q895=Parametres!$G$2,$Q895=Parametres!$G$3),I895,C895)</f>
        <v>0</v>
      </c>
      <c r="O895" s="1122">
        <f>+IF(OR($Q895=Parametres!$G$2,$Q895=Parametres!$G$3),J895,D895)</f>
        <v>0</v>
      </c>
      <c r="P895" s="155">
        <f>+IF(OR($Q895=Parametres!$G$2,$Q895=Parametres!$G$3),K895,E895)</f>
        <v>0</v>
      </c>
      <c r="Q895" s="154">
        <f t="shared" si="67"/>
        <v>0</v>
      </c>
      <c r="R895" s="153">
        <f t="shared" si="68"/>
        <v>0</v>
      </c>
      <c r="S895" s="154">
        <f t="shared" si="69"/>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hidden="1" customHeight="1">
      <c r="A896" s="157"/>
      <c r="B896" s="158"/>
      <c r="C896" s="159"/>
      <c r="D896" s="157"/>
      <c r="E896" s="157"/>
      <c r="F896" s="157"/>
      <c r="G896" s="157"/>
      <c r="H896" s="157"/>
      <c r="I896" s="157"/>
      <c r="J896" s="157"/>
      <c r="K896" s="157"/>
      <c r="L896" s="153">
        <f t="shared" si="65"/>
        <v>0</v>
      </c>
      <c r="M896" s="154">
        <f t="shared" si="66"/>
        <v>0</v>
      </c>
      <c r="N896" s="155">
        <f>+IF(OR($Q896=Parametres!$G$2,$Q896=Parametres!$G$3),I896,C896)</f>
        <v>0</v>
      </c>
      <c r="O896" s="1122">
        <f>+IF(OR($Q896=Parametres!$G$2,$Q896=Parametres!$G$3),J896,D896)</f>
        <v>0</v>
      </c>
      <c r="P896" s="155">
        <f>+IF(OR($Q896=Parametres!$G$2,$Q896=Parametres!$G$3),K896,E896)</f>
        <v>0</v>
      </c>
      <c r="Q896" s="154">
        <f t="shared" si="67"/>
        <v>0</v>
      </c>
      <c r="R896" s="153">
        <f t="shared" si="68"/>
        <v>0</v>
      </c>
      <c r="S896" s="154">
        <f t="shared" si="69"/>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hidden="1" customHeight="1">
      <c r="A897" s="157"/>
      <c r="B897" s="158"/>
      <c r="C897" s="159"/>
      <c r="D897" s="157"/>
      <c r="E897" s="157"/>
      <c r="F897" s="157"/>
      <c r="G897" s="157"/>
      <c r="H897" s="157"/>
      <c r="I897" s="157"/>
      <c r="J897" s="157"/>
      <c r="K897" s="157"/>
      <c r="L897" s="153">
        <f t="shared" si="65"/>
        <v>0</v>
      </c>
      <c r="M897" s="154">
        <f t="shared" si="66"/>
        <v>0</v>
      </c>
      <c r="N897" s="155">
        <f>+IF(OR($Q897=Parametres!$G$2,$Q897=Parametres!$G$3),I897,C897)</f>
        <v>0</v>
      </c>
      <c r="O897" s="1122">
        <f>+IF(OR($Q897=Parametres!$G$2,$Q897=Parametres!$G$3),J897,D897)</f>
        <v>0</v>
      </c>
      <c r="P897" s="155">
        <f>+IF(OR($Q897=Parametres!$G$2,$Q897=Parametres!$G$3),K897,E897)</f>
        <v>0</v>
      </c>
      <c r="Q897" s="154">
        <f t="shared" si="67"/>
        <v>0</v>
      </c>
      <c r="R897" s="153">
        <f t="shared" si="68"/>
        <v>0</v>
      </c>
      <c r="S897" s="154">
        <f t="shared" si="69"/>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hidden="1" customHeight="1">
      <c r="A898" s="157"/>
      <c r="B898" s="158"/>
      <c r="C898" s="159"/>
      <c r="D898" s="157"/>
      <c r="E898" s="157"/>
      <c r="F898" s="157"/>
      <c r="G898" s="157"/>
      <c r="H898" s="157"/>
      <c r="I898" s="157"/>
      <c r="J898" s="157"/>
      <c r="K898" s="157"/>
      <c r="L898" s="153">
        <f t="shared" ref="L898:L961" si="70">+B898</f>
        <v>0</v>
      </c>
      <c r="M898" s="154">
        <f t="shared" ref="M898:M961" si="71">+A898</f>
        <v>0</v>
      </c>
      <c r="N898" s="155">
        <f>+IF(OR($Q898=Parametres!$G$2,$Q898=Parametres!$G$3),I898,C898)</f>
        <v>0</v>
      </c>
      <c r="O898" s="1122">
        <f>+IF(OR($Q898=Parametres!$G$2,$Q898=Parametres!$G$3),J898,D898)</f>
        <v>0</v>
      </c>
      <c r="P898" s="155">
        <f>+IF(OR($Q898=Parametres!$G$2,$Q898=Parametres!$G$3),K898,E898)</f>
        <v>0</v>
      </c>
      <c r="Q898" s="154">
        <f t="shared" ref="Q898:Q961" si="72">+F898</f>
        <v>0</v>
      </c>
      <c r="R898" s="153">
        <f t="shared" ref="R898:R961" si="73">+G898</f>
        <v>0</v>
      </c>
      <c r="S898" s="154">
        <f t="shared" ref="S898:S961" si="74">+H898</f>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hidden="1" customHeight="1">
      <c r="A899" s="157"/>
      <c r="B899" s="158"/>
      <c r="C899" s="159"/>
      <c r="D899" s="157"/>
      <c r="E899" s="157"/>
      <c r="F899" s="157"/>
      <c r="G899" s="157"/>
      <c r="H899" s="157"/>
      <c r="I899" s="157"/>
      <c r="J899" s="157"/>
      <c r="K899" s="157"/>
      <c r="L899" s="153">
        <f t="shared" si="70"/>
        <v>0</v>
      </c>
      <c r="M899" s="154">
        <f t="shared" si="71"/>
        <v>0</v>
      </c>
      <c r="N899" s="155">
        <f>+IF(OR($Q899=Parametres!$G$2,$Q899=Parametres!$G$3),I899,C899)</f>
        <v>0</v>
      </c>
      <c r="O899" s="1122">
        <f>+IF(OR($Q899=Parametres!$G$2,$Q899=Parametres!$G$3),J899,D899)</f>
        <v>0</v>
      </c>
      <c r="P899" s="155">
        <f>+IF(OR($Q899=Parametres!$G$2,$Q899=Parametres!$G$3),K899,E899)</f>
        <v>0</v>
      </c>
      <c r="Q899" s="154">
        <f t="shared" si="72"/>
        <v>0</v>
      </c>
      <c r="R899" s="153">
        <f t="shared" si="73"/>
        <v>0</v>
      </c>
      <c r="S899" s="154">
        <f t="shared" si="74"/>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hidden="1" customHeight="1">
      <c r="A900" s="157"/>
      <c r="B900" s="158"/>
      <c r="C900" s="159"/>
      <c r="D900" s="157"/>
      <c r="E900" s="157"/>
      <c r="F900" s="157"/>
      <c r="G900" s="157"/>
      <c r="H900" s="157"/>
      <c r="I900" s="157"/>
      <c r="J900" s="157"/>
      <c r="K900" s="157"/>
      <c r="L900" s="153">
        <f t="shared" si="70"/>
        <v>0</v>
      </c>
      <c r="M900" s="154">
        <f t="shared" si="71"/>
        <v>0</v>
      </c>
      <c r="N900" s="155">
        <f>+IF(OR($Q900=Parametres!$G$2,$Q900=Parametres!$G$3),I900,C900)</f>
        <v>0</v>
      </c>
      <c r="O900" s="1122">
        <f>+IF(OR($Q900=Parametres!$G$2,$Q900=Parametres!$G$3),J900,D900)</f>
        <v>0</v>
      </c>
      <c r="P900" s="155">
        <f>+IF(OR($Q900=Parametres!$G$2,$Q900=Parametres!$G$3),K900,E900)</f>
        <v>0</v>
      </c>
      <c r="Q900" s="154">
        <f t="shared" si="72"/>
        <v>0</v>
      </c>
      <c r="R900" s="153">
        <f t="shared" si="73"/>
        <v>0</v>
      </c>
      <c r="S900" s="154">
        <f t="shared" si="74"/>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hidden="1" customHeight="1">
      <c r="A901" s="157"/>
      <c r="B901" s="158"/>
      <c r="C901" s="159"/>
      <c r="D901" s="157"/>
      <c r="E901" s="157"/>
      <c r="F901" s="157"/>
      <c r="G901" s="157"/>
      <c r="H901" s="157"/>
      <c r="I901" s="157"/>
      <c r="J901" s="157"/>
      <c r="K901" s="157"/>
      <c r="L901" s="153">
        <f t="shared" si="70"/>
        <v>0</v>
      </c>
      <c r="M901" s="154">
        <f t="shared" si="71"/>
        <v>0</v>
      </c>
      <c r="N901" s="155">
        <f>+IF(OR($Q901=Parametres!$G$2,$Q901=Parametres!$G$3),I901,C901)</f>
        <v>0</v>
      </c>
      <c r="O901" s="1122">
        <f>+IF(OR($Q901=Parametres!$G$2,$Q901=Parametres!$G$3),J901,D901)</f>
        <v>0</v>
      </c>
      <c r="P901" s="155">
        <f>+IF(OR($Q901=Parametres!$G$2,$Q901=Parametres!$G$3),K901,E901)</f>
        <v>0</v>
      </c>
      <c r="Q901" s="154">
        <f t="shared" si="72"/>
        <v>0</v>
      </c>
      <c r="R901" s="153">
        <f t="shared" si="73"/>
        <v>0</v>
      </c>
      <c r="S901" s="154">
        <f t="shared" si="74"/>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hidden="1" customHeight="1">
      <c r="A902" s="157"/>
      <c r="B902" s="158"/>
      <c r="C902" s="159"/>
      <c r="D902" s="157"/>
      <c r="E902" s="157"/>
      <c r="F902" s="157"/>
      <c r="G902" s="157"/>
      <c r="H902" s="157"/>
      <c r="I902" s="157"/>
      <c r="J902" s="157"/>
      <c r="K902" s="157"/>
      <c r="L902" s="153">
        <f t="shared" si="70"/>
        <v>0</v>
      </c>
      <c r="M902" s="154">
        <f t="shared" si="71"/>
        <v>0</v>
      </c>
      <c r="N902" s="155">
        <f>+IF(OR($Q902=Parametres!$G$2,$Q902=Parametres!$G$3),I902,C902)</f>
        <v>0</v>
      </c>
      <c r="O902" s="1122">
        <f>+IF(OR($Q902=Parametres!$G$2,$Q902=Parametres!$G$3),J902,D902)</f>
        <v>0</v>
      </c>
      <c r="P902" s="155">
        <f>+IF(OR($Q902=Parametres!$G$2,$Q902=Parametres!$G$3),K902,E902)</f>
        <v>0</v>
      </c>
      <c r="Q902" s="154">
        <f t="shared" si="72"/>
        <v>0</v>
      </c>
      <c r="R902" s="153">
        <f t="shared" si="73"/>
        <v>0</v>
      </c>
      <c r="S902" s="154">
        <f t="shared" si="74"/>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hidden="1" customHeight="1">
      <c r="A903" s="157"/>
      <c r="B903" s="158"/>
      <c r="C903" s="159"/>
      <c r="D903" s="157"/>
      <c r="E903" s="157"/>
      <c r="F903" s="157"/>
      <c r="G903" s="157"/>
      <c r="H903" s="157"/>
      <c r="I903" s="157"/>
      <c r="J903" s="157"/>
      <c r="K903" s="157"/>
      <c r="L903" s="153">
        <f t="shared" si="70"/>
        <v>0</v>
      </c>
      <c r="M903" s="154">
        <f t="shared" si="71"/>
        <v>0</v>
      </c>
      <c r="N903" s="155">
        <f>+IF(OR($Q903=Parametres!$G$2,$Q903=Parametres!$G$3),I903,C903)</f>
        <v>0</v>
      </c>
      <c r="O903" s="1122">
        <f>+IF(OR($Q903=Parametres!$G$2,$Q903=Parametres!$G$3),J903,D903)</f>
        <v>0</v>
      </c>
      <c r="P903" s="155">
        <f>+IF(OR($Q903=Parametres!$G$2,$Q903=Parametres!$G$3),K903,E903)</f>
        <v>0</v>
      </c>
      <c r="Q903" s="154">
        <f t="shared" si="72"/>
        <v>0</v>
      </c>
      <c r="R903" s="153">
        <f t="shared" si="73"/>
        <v>0</v>
      </c>
      <c r="S903" s="154">
        <f t="shared" si="74"/>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hidden="1" customHeight="1">
      <c r="A904" s="157"/>
      <c r="B904" s="158"/>
      <c r="C904" s="159"/>
      <c r="D904" s="157"/>
      <c r="E904" s="157"/>
      <c r="F904" s="157"/>
      <c r="G904" s="157"/>
      <c r="H904" s="157"/>
      <c r="I904" s="157"/>
      <c r="J904" s="157"/>
      <c r="K904" s="157"/>
      <c r="L904" s="153">
        <f t="shared" si="70"/>
        <v>0</v>
      </c>
      <c r="M904" s="154">
        <f t="shared" si="71"/>
        <v>0</v>
      </c>
      <c r="N904" s="155">
        <f>+IF(OR($Q904=Parametres!$G$2,$Q904=Parametres!$G$3),I904,C904)</f>
        <v>0</v>
      </c>
      <c r="O904" s="1122">
        <f>+IF(OR($Q904=Parametres!$G$2,$Q904=Parametres!$G$3),J904,D904)</f>
        <v>0</v>
      </c>
      <c r="P904" s="155">
        <f>+IF(OR($Q904=Parametres!$G$2,$Q904=Parametres!$G$3),K904,E904)</f>
        <v>0</v>
      </c>
      <c r="Q904" s="154">
        <f t="shared" si="72"/>
        <v>0</v>
      </c>
      <c r="R904" s="153">
        <f t="shared" si="73"/>
        <v>0</v>
      </c>
      <c r="S904" s="154">
        <f t="shared" si="74"/>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hidden="1" customHeight="1">
      <c r="A905" s="157"/>
      <c r="B905" s="158"/>
      <c r="C905" s="159"/>
      <c r="D905" s="157"/>
      <c r="E905" s="157"/>
      <c r="F905" s="157"/>
      <c r="G905" s="157"/>
      <c r="H905" s="157"/>
      <c r="I905" s="157"/>
      <c r="J905" s="157"/>
      <c r="K905" s="157"/>
      <c r="L905" s="153">
        <f t="shared" si="70"/>
        <v>0</v>
      </c>
      <c r="M905" s="154">
        <f t="shared" si="71"/>
        <v>0</v>
      </c>
      <c r="N905" s="155">
        <f>+IF(OR($Q905=Parametres!$G$2,$Q905=Parametres!$G$3),I905,C905)</f>
        <v>0</v>
      </c>
      <c r="O905" s="1122">
        <f>+IF(OR($Q905=Parametres!$G$2,$Q905=Parametres!$G$3),J905,D905)</f>
        <v>0</v>
      </c>
      <c r="P905" s="155">
        <f>+IF(OR($Q905=Parametres!$G$2,$Q905=Parametres!$G$3),K905,E905)</f>
        <v>0</v>
      </c>
      <c r="Q905" s="154">
        <f t="shared" si="72"/>
        <v>0</v>
      </c>
      <c r="R905" s="153">
        <f t="shared" si="73"/>
        <v>0</v>
      </c>
      <c r="S905" s="154">
        <f t="shared" si="74"/>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hidden="1" customHeight="1">
      <c r="A906" s="157"/>
      <c r="B906" s="158"/>
      <c r="C906" s="159"/>
      <c r="D906" s="157"/>
      <c r="E906" s="157"/>
      <c r="F906" s="157"/>
      <c r="G906" s="157"/>
      <c r="H906" s="157"/>
      <c r="I906" s="157"/>
      <c r="J906" s="157"/>
      <c r="K906" s="157"/>
      <c r="L906" s="153">
        <f t="shared" si="70"/>
        <v>0</v>
      </c>
      <c r="M906" s="154">
        <f t="shared" si="71"/>
        <v>0</v>
      </c>
      <c r="N906" s="155">
        <f>+IF(OR($Q906=Parametres!$G$2,$Q906=Parametres!$G$3),I906,C906)</f>
        <v>0</v>
      </c>
      <c r="O906" s="1122">
        <f>+IF(OR($Q906=Parametres!$G$2,$Q906=Parametres!$G$3),J906,D906)</f>
        <v>0</v>
      </c>
      <c r="P906" s="155">
        <f>+IF(OR($Q906=Parametres!$G$2,$Q906=Parametres!$G$3),K906,E906)</f>
        <v>0</v>
      </c>
      <c r="Q906" s="154">
        <f t="shared" si="72"/>
        <v>0</v>
      </c>
      <c r="R906" s="153">
        <f t="shared" si="73"/>
        <v>0</v>
      </c>
      <c r="S906" s="154">
        <f t="shared" si="74"/>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hidden="1" customHeight="1">
      <c r="A907" s="157"/>
      <c r="B907" s="158"/>
      <c r="C907" s="159"/>
      <c r="D907" s="157"/>
      <c r="E907" s="157"/>
      <c r="F907" s="157"/>
      <c r="G907" s="157"/>
      <c r="H907" s="157"/>
      <c r="I907" s="157"/>
      <c r="J907" s="157"/>
      <c r="K907" s="157"/>
      <c r="L907" s="153">
        <f t="shared" si="70"/>
        <v>0</v>
      </c>
      <c r="M907" s="154">
        <f t="shared" si="71"/>
        <v>0</v>
      </c>
      <c r="N907" s="155">
        <f>+IF(OR($Q907=Parametres!$G$2,$Q907=Parametres!$G$3),I907,C907)</f>
        <v>0</v>
      </c>
      <c r="O907" s="1122">
        <f>+IF(OR($Q907=Parametres!$G$2,$Q907=Parametres!$G$3),J907,D907)</f>
        <v>0</v>
      </c>
      <c r="P907" s="155">
        <f>+IF(OR($Q907=Parametres!$G$2,$Q907=Parametres!$G$3),K907,E907)</f>
        <v>0</v>
      </c>
      <c r="Q907" s="154">
        <f t="shared" si="72"/>
        <v>0</v>
      </c>
      <c r="R907" s="153">
        <f t="shared" si="73"/>
        <v>0</v>
      </c>
      <c r="S907" s="154">
        <f t="shared" si="74"/>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hidden="1" customHeight="1">
      <c r="A908" s="157"/>
      <c r="B908" s="158"/>
      <c r="C908" s="159"/>
      <c r="D908" s="157"/>
      <c r="E908" s="157"/>
      <c r="F908" s="157"/>
      <c r="G908" s="157"/>
      <c r="H908" s="157"/>
      <c r="I908" s="157"/>
      <c r="J908" s="157"/>
      <c r="K908" s="157"/>
      <c r="L908" s="153">
        <f t="shared" si="70"/>
        <v>0</v>
      </c>
      <c r="M908" s="154">
        <f t="shared" si="71"/>
        <v>0</v>
      </c>
      <c r="N908" s="155">
        <f>+IF(OR($Q908=Parametres!$G$2,$Q908=Parametres!$G$3),I908,C908)</f>
        <v>0</v>
      </c>
      <c r="O908" s="1122">
        <f>+IF(OR($Q908=Parametres!$G$2,$Q908=Parametres!$G$3),J908,D908)</f>
        <v>0</v>
      </c>
      <c r="P908" s="155">
        <f>+IF(OR($Q908=Parametres!$G$2,$Q908=Parametres!$G$3),K908,E908)</f>
        <v>0</v>
      </c>
      <c r="Q908" s="154">
        <f t="shared" si="72"/>
        <v>0</v>
      </c>
      <c r="R908" s="153">
        <f t="shared" si="73"/>
        <v>0</v>
      </c>
      <c r="S908" s="154">
        <f t="shared" si="74"/>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hidden="1" customHeight="1">
      <c r="A909" s="157"/>
      <c r="B909" s="158"/>
      <c r="C909" s="159"/>
      <c r="D909" s="157"/>
      <c r="E909" s="157"/>
      <c r="F909" s="157"/>
      <c r="G909" s="157"/>
      <c r="H909" s="157"/>
      <c r="I909" s="157"/>
      <c r="J909" s="157"/>
      <c r="K909" s="157"/>
      <c r="L909" s="153">
        <f t="shared" si="70"/>
        <v>0</v>
      </c>
      <c r="M909" s="154">
        <f t="shared" si="71"/>
        <v>0</v>
      </c>
      <c r="N909" s="155">
        <f>+IF(OR($Q909=Parametres!$G$2,$Q909=Parametres!$G$3),I909,C909)</f>
        <v>0</v>
      </c>
      <c r="O909" s="1122">
        <f>+IF(OR($Q909=Parametres!$G$2,$Q909=Parametres!$G$3),J909,D909)</f>
        <v>0</v>
      </c>
      <c r="P909" s="155">
        <f>+IF(OR($Q909=Parametres!$G$2,$Q909=Parametres!$G$3),K909,E909)</f>
        <v>0</v>
      </c>
      <c r="Q909" s="154">
        <f t="shared" si="72"/>
        <v>0</v>
      </c>
      <c r="R909" s="153">
        <f t="shared" si="73"/>
        <v>0</v>
      </c>
      <c r="S909" s="154">
        <f t="shared" si="74"/>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hidden="1" customHeight="1">
      <c r="A910" s="157"/>
      <c r="B910" s="158"/>
      <c r="C910" s="159"/>
      <c r="D910" s="157"/>
      <c r="E910" s="157"/>
      <c r="F910" s="157"/>
      <c r="G910" s="157"/>
      <c r="H910" s="157"/>
      <c r="I910" s="157"/>
      <c r="J910" s="157"/>
      <c r="K910" s="157"/>
      <c r="L910" s="153">
        <f t="shared" si="70"/>
        <v>0</v>
      </c>
      <c r="M910" s="154">
        <f t="shared" si="71"/>
        <v>0</v>
      </c>
      <c r="N910" s="155">
        <f>+IF(OR($Q910=Parametres!$G$2,$Q910=Parametres!$G$3),I910,C910)</f>
        <v>0</v>
      </c>
      <c r="O910" s="1122">
        <f>+IF(OR($Q910=Parametres!$G$2,$Q910=Parametres!$G$3),J910,D910)</f>
        <v>0</v>
      </c>
      <c r="P910" s="155">
        <f>+IF(OR($Q910=Parametres!$G$2,$Q910=Parametres!$G$3),K910,E910)</f>
        <v>0</v>
      </c>
      <c r="Q910" s="154">
        <f t="shared" si="72"/>
        <v>0</v>
      </c>
      <c r="R910" s="153">
        <f t="shared" si="73"/>
        <v>0</v>
      </c>
      <c r="S910" s="154">
        <f t="shared" si="74"/>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hidden="1" customHeight="1">
      <c r="A911" s="157"/>
      <c r="B911" s="158"/>
      <c r="C911" s="159"/>
      <c r="D911" s="157"/>
      <c r="E911" s="157"/>
      <c r="F911" s="157"/>
      <c r="G911" s="157"/>
      <c r="H911" s="157"/>
      <c r="I911" s="157"/>
      <c r="J911" s="157"/>
      <c r="K911" s="157"/>
      <c r="L911" s="153">
        <f t="shared" si="70"/>
        <v>0</v>
      </c>
      <c r="M911" s="154">
        <f t="shared" si="71"/>
        <v>0</v>
      </c>
      <c r="N911" s="155">
        <f>+IF(OR($Q911=Parametres!$G$2,$Q911=Parametres!$G$3),I911,C911)</f>
        <v>0</v>
      </c>
      <c r="O911" s="1122">
        <f>+IF(OR($Q911=Parametres!$G$2,$Q911=Parametres!$G$3),J911,D911)</f>
        <v>0</v>
      </c>
      <c r="P911" s="155">
        <f>+IF(OR($Q911=Parametres!$G$2,$Q911=Parametres!$G$3),K911,E911)</f>
        <v>0</v>
      </c>
      <c r="Q911" s="154">
        <f t="shared" si="72"/>
        <v>0</v>
      </c>
      <c r="R911" s="153">
        <f t="shared" si="73"/>
        <v>0</v>
      </c>
      <c r="S911" s="154">
        <f t="shared" si="74"/>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hidden="1" customHeight="1">
      <c r="A912" s="157"/>
      <c r="B912" s="158"/>
      <c r="C912" s="159"/>
      <c r="D912" s="157"/>
      <c r="E912" s="157"/>
      <c r="F912" s="157"/>
      <c r="G912" s="157"/>
      <c r="H912" s="157"/>
      <c r="I912" s="157"/>
      <c r="J912" s="157"/>
      <c r="K912" s="157"/>
      <c r="L912" s="153">
        <f t="shared" si="70"/>
        <v>0</v>
      </c>
      <c r="M912" s="154">
        <f t="shared" si="71"/>
        <v>0</v>
      </c>
      <c r="N912" s="155">
        <f>+IF(OR($Q912=Parametres!$G$2,$Q912=Parametres!$G$3),I912,C912)</f>
        <v>0</v>
      </c>
      <c r="O912" s="1122">
        <f>+IF(OR($Q912=Parametres!$G$2,$Q912=Parametres!$G$3),J912,D912)</f>
        <v>0</v>
      </c>
      <c r="P912" s="155">
        <f>+IF(OR($Q912=Parametres!$G$2,$Q912=Parametres!$G$3),K912,E912)</f>
        <v>0</v>
      </c>
      <c r="Q912" s="154">
        <f t="shared" si="72"/>
        <v>0</v>
      </c>
      <c r="R912" s="153">
        <f t="shared" si="73"/>
        <v>0</v>
      </c>
      <c r="S912" s="154">
        <f t="shared" si="74"/>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hidden="1" customHeight="1">
      <c r="A913" s="157"/>
      <c r="B913" s="158"/>
      <c r="C913" s="159"/>
      <c r="D913" s="157"/>
      <c r="E913" s="157"/>
      <c r="F913" s="157"/>
      <c r="G913" s="157"/>
      <c r="H913" s="157"/>
      <c r="I913" s="157"/>
      <c r="J913" s="157"/>
      <c r="K913" s="157"/>
      <c r="L913" s="153">
        <f t="shared" si="70"/>
        <v>0</v>
      </c>
      <c r="M913" s="154">
        <f t="shared" si="71"/>
        <v>0</v>
      </c>
      <c r="N913" s="155">
        <f>+IF(OR($Q913=Parametres!$G$2,$Q913=Parametres!$G$3),I913,C913)</f>
        <v>0</v>
      </c>
      <c r="O913" s="1122">
        <f>+IF(OR($Q913=Parametres!$G$2,$Q913=Parametres!$G$3),J913,D913)</f>
        <v>0</v>
      </c>
      <c r="P913" s="155">
        <f>+IF(OR($Q913=Parametres!$G$2,$Q913=Parametres!$G$3),K913,E913)</f>
        <v>0</v>
      </c>
      <c r="Q913" s="154">
        <f t="shared" si="72"/>
        <v>0</v>
      </c>
      <c r="R913" s="153">
        <f t="shared" si="73"/>
        <v>0</v>
      </c>
      <c r="S913" s="154">
        <f t="shared" si="74"/>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hidden="1" customHeight="1">
      <c r="A914" s="157"/>
      <c r="B914" s="158"/>
      <c r="C914" s="159"/>
      <c r="D914" s="157"/>
      <c r="E914" s="157"/>
      <c r="F914" s="157"/>
      <c r="G914" s="157"/>
      <c r="H914" s="157"/>
      <c r="I914" s="157"/>
      <c r="J914" s="157"/>
      <c r="K914" s="157"/>
      <c r="L914" s="153">
        <f t="shared" si="70"/>
        <v>0</v>
      </c>
      <c r="M914" s="154">
        <f t="shared" si="71"/>
        <v>0</v>
      </c>
      <c r="N914" s="155">
        <f>+IF(OR($Q914=Parametres!$G$2,$Q914=Parametres!$G$3),I914,C914)</f>
        <v>0</v>
      </c>
      <c r="O914" s="1122">
        <f>+IF(OR($Q914=Parametres!$G$2,$Q914=Parametres!$G$3),J914,D914)</f>
        <v>0</v>
      </c>
      <c r="P914" s="155">
        <f>+IF(OR($Q914=Parametres!$G$2,$Q914=Parametres!$G$3),K914,E914)</f>
        <v>0</v>
      </c>
      <c r="Q914" s="154">
        <f t="shared" si="72"/>
        <v>0</v>
      </c>
      <c r="R914" s="153">
        <f t="shared" si="73"/>
        <v>0</v>
      </c>
      <c r="S914" s="154">
        <f t="shared" si="74"/>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hidden="1" customHeight="1">
      <c r="A915" s="157"/>
      <c r="B915" s="158"/>
      <c r="C915" s="159"/>
      <c r="D915" s="157"/>
      <c r="E915" s="157"/>
      <c r="F915" s="157"/>
      <c r="G915" s="157"/>
      <c r="H915" s="157"/>
      <c r="I915" s="157"/>
      <c r="J915" s="157"/>
      <c r="K915" s="157"/>
      <c r="L915" s="153">
        <f t="shared" si="70"/>
        <v>0</v>
      </c>
      <c r="M915" s="154">
        <f t="shared" si="71"/>
        <v>0</v>
      </c>
      <c r="N915" s="155">
        <f>+IF(OR($Q915=Parametres!$G$2,$Q915=Parametres!$G$3),I915,C915)</f>
        <v>0</v>
      </c>
      <c r="O915" s="1122">
        <f>+IF(OR($Q915=Parametres!$G$2,$Q915=Parametres!$G$3),J915,D915)</f>
        <v>0</v>
      </c>
      <c r="P915" s="155">
        <f>+IF(OR($Q915=Parametres!$G$2,$Q915=Parametres!$G$3),K915,E915)</f>
        <v>0</v>
      </c>
      <c r="Q915" s="154">
        <f t="shared" si="72"/>
        <v>0</v>
      </c>
      <c r="R915" s="153">
        <f t="shared" si="73"/>
        <v>0</v>
      </c>
      <c r="S915" s="154">
        <f t="shared" si="74"/>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hidden="1" customHeight="1">
      <c r="A916" s="157"/>
      <c r="B916" s="158"/>
      <c r="C916" s="159"/>
      <c r="D916" s="157"/>
      <c r="E916" s="157"/>
      <c r="F916" s="157"/>
      <c r="G916" s="157"/>
      <c r="H916" s="157"/>
      <c r="I916" s="157"/>
      <c r="J916" s="157"/>
      <c r="K916" s="157"/>
      <c r="L916" s="153">
        <f t="shared" si="70"/>
        <v>0</v>
      </c>
      <c r="M916" s="154">
        <f t="shared" si="71"/>
        <v>0</v>
      </c>
      <c r="N916" s="155">
        <f>+IF(OR($Q916=Parametres!$G$2,$Q916=Parametres!$G$3),I916,C916)</f>
        <v>0</v>
      </c>
      <c r="O916" s="1122">
        <f>+IF(OR($Q916=Parametres!$G$2,$Q916=Parametres!$G$3),J916,D916)</f>
        <v>0</v>
      </c>
      <c r="P916" s="155">
        <f>+IF(OR($Q916=Parametres!$G$2,$Q916=Parametres!$G$3),K916,E916)</f>
        <v>0</v>
      </c>
      <c r="Q916" s="154">
        <f t="shared" si="72"/>
        <v>0</v>
      </c>
      <c r="R916" s="153">
        <f t="shared" si="73"/>
        <v>0</v>
      </c>
      <c r="S916" s="154">
        <f t="shared" si="74"/>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hidden="1" customHeight="1">
      <c r="A917" s="157"/>
      <c r="B917" s="158"/>
      <c r="C917" s="159"/>
      <c r="D917" s="157"/>
      <c r="E917" s="157"/>
      <c r="F917" s="157"/>
      <c r="G917" s="157"/>
      <c r="H917" s="157"/>
      <c r="I917" s="157"/>
      <c r="J917" s="157"/>
      <c r="K917" s="157"/>
      <c r="L917" s="153">
        <f t="shared" si="70"/>
        <v>0</v>
      </c>
      <c r="M917" s="154">
        <f t="shared" si="71"/>
        <v>0</v>
      </c>
      <c r="N917" s="155">
        <f>+IF(OR($Q917=Parametres!$G$2,$Q917=Parametres!$G$3),I917,C917)</f>
        <v>0</v>
      </c>
      <c r="O917" s="1122">
        <f>+IF(OR($Q917=Parametres!$G$2,$Q917=Parametres!$G$3),J917,D917)</f>
        <v>0</v>
      </c>
      <c r="P917" s="155">
        <f>+IF(OR($Q917=Parametres!$G$2,$Q917=Parametres!$G$3),K917,E917)</f>
        <v>0</v>
      </c>
      <c r="Q917" s="154">
        <f t="shared" si="72"/>
        <v>0</v>
      </c>
      <c r="R917" s="153">
        <f t="shared" si="73"/>
        <v>0</v>
      </c>
      <c r="S917" s="154">
        <f t="shared" si="74"/>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hidden="1" customHeight="1">
      <c r="A918" s="157"/>
      <c r="B918" s="158"/>
      <c r="C918" s="159"/>
      <c r="D918" s="157"/>
      <c r="E918" s="157"/>
      <c r="F918" s="157"/>
      <c r="G918" s="157"/>
      <c r="H918" s="157"/>
      <c r="I918" s="157"/>
      <c r="J918" s="157"/>
      <c r="K918" s="157"/>
      <c r="L918" s="153">
        <f t="shared" si="70"/>
        <v>0</v>
      </c>
      <c r="M918" s="154">
        <f t="shared" si="71"/>
        <v>0</v>
      </c>
      <c r="N918" s="155">
        <f>+IF(OR($Q918=Parametres!$G$2,$Q918=Parametres!$G$3),I918,C918)</f>
        <v>0</v>
      </c>
      <c r="O918" s="1122">
        <f>+IF(OR($Q918=Parametres!$G$2,$Q918=Parametres!$G$3),J918,D918)</f>
        <v>0</v>
      </c>
      <c r="P918" s="155">
        <f>+IF(OR($Q918=Parametres!$G$2,$Q918=Parametres!$G$3),K918,E918)</f>
        <v>0</v>
      </c>
      <c r="Q918" s="154">
        <f t="shared" si="72"/>
        <v>0</v>
      </c>
      <c r="R918" s="153">
        <f t="shared" si="73"/>
        <v>0</v>
      </c>
      <c r="S918" s="154">
        <f t="shared" si="74"/>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hidden="1" customHeight="1">
      <c r="A919" s="157"/>
      <c r="B919" s="158"/>
      <c r="C919" s="159"/>
      <c r="D919" s="157"/>
      <c r="E919" s="157"/>
      <c r="F919" s="157"/>
      <c r="G919" s="157"/>
      <c r="H919" s="157"/>
      <c r="I919" s="157"/>
      <c r="J919" s="157"/>
      <c r="K919" s="157"/>
      <c r="L919" s="153">
        <f t="shared" si="70"/>
        <v>0</v>
      </c>
      <c r="M919" s="154">
        <f t="shared" si="71"/>
        <v>0</v>
      </c>
      <c r="N919" s="155">
        <f>+IF(OR($Q919=Parametres!$G$2,$Q919=Parametres!$G$3),I919,C919)</f>
        <v>0</v>
      </c>
      <c r="O919" s="1122">
        <f>+IF(OR($Q919=Parametres!$G$2,$Q919=Parametres!$G$3),J919,D919)</f>
        <v>0</v>
      </c>
      <c r="P919" s="155">
        <f>+IF(OR($Q919=Parametres!$G$2,$Q919=Parametres!$G$3),K919,E919)</f>
        <v>0</v>
      </c>
      <c r="Q919" s="154">
        <f t="shared" si="72"/>
        <v>0</v>
      </c>
      <c r="R919" s="153">
        <f t="shared" si="73"/>
        <v>0</v>
      </c>
      <c r="S919" s="154">
        <f t="shared" si="74"/>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hidden="1" customHeight="1">
      <c r="A920" s="157"/>
      <c r="B920" s="158"/>
      <c r="C920" s="159"/>
      <c r="D920" s="157"/>
      <c r="E920" s="157"/>
      <c r="F920" s="157"/>
      <c r="G920" s="157"/>
      <c r="H920" s="157"/>
      <c r="I920" s="157"/>
      <c r="J920" s="157"/>
      <c r="K920" s="157"/>
      <c r="L920" s="153">
        <f t="shared" si="70"/>
        <v>0</v>
      </c>
      <c r="M920" s="154">
        <f t="shared" si="71"/>
        <v>0</v>
      </c>
      <c r="N920" s="155">
        <f>+IF(OR($Q920=Parametres!$G$2,$Q920=Parametres!$G$3),I920,C920)</f>
        <v>0</v>
      </c>
      <c r="O920" s="1122">
        <f>+IF(OR($Q920=Parametres!$G$2,$Q920=Parametres!$G$3),J920,D920)</f>
        <v>0</v>
      </c>
      <c r="P920" s="155">
        <f>+IF(OR($Q920=Parametres!$G$2,$Q920=Parametres!$G$3),K920,E920)</f>
        <v>0</v>
      </c>
      <c r="Q920" s="154">
        <f t="shared" si="72"/>
        <v>0</v>
      </c>
      <c r="R920" s="153">
        <f t="shared" si="73"/>
        <v>0</v>
      </c>
      <c r="S920" s="154">
        <f t="shared" si="74"/>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hidden="1" customHeight="1">
      <c r="A921" s="157"/>
      <c r="B921" s="158"/>
      <c r="C921" s="159"/>
      <c r="D921" s="157"/>
      <c r="E921" s="157"/>
      <c r="F921" s="157"/>
      <c r="G921" s="157"/>
      <c r="H921" s="157"/>
      <c r="I921" s="157"/>
      <c r="J921" s="157"/>
      <c r="K921" s="157"/>
      <c r="L921" s="153">
        <f t="shared" si="70"/>
        <v>0</v>
      </c>
      <c r="M921" s="154">
        <f t="shared" si="71"/>
        <v>0</v>
      </c>
      <c r="N921" s="155">
        <f>+IF(OR($Q921=Parametres!$G$2,$Q921=Parametres!$G$3),I921,C921)</f>
        <v>0</v>
      </c>
      <c r="O921" s="1122">
        <f>+IF(OR($Q921=Parametres!$G$2,$Q921=Parametres!$G$3),J921,D921)</f>
        <v>0</v>
      </c>
      <c r="P921" s="155">
        <f>+IF(OR($Q921=Parametres!$G$2,$Q921=Parametres!$G$3),K921,E921)</f>
        <v>0</v>
      </c>
      <c r="Q921" s="154">
        <f t="shared" si="72"/>
        <v>0</v>
      </c>
      <c r="R921" s="153">
        <f t="shared" si="73"/>
        <v>0</v>
      </c>
      <c r="S921" s="154">
        <f t="shared" si="74"/>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hidden="1" customHeight="1">
      <c r="A922" s="157"/>
      <c r="B922" s="158"/>
      <c r="C922" s="159"/>
      <c r="D922" s="157"/>
      <c r="E922" s="157"/>
      <c r="F922" s="157"/>
      <c r="G922" s="157"/>
      <c r="H922" s="157"/>
      <c r="I922" s="157"/>
      <c r="J922" s="157"/>
      <c r="K922" s="157"/>
      <c r="L922" s="153">
        <f t="shared" si="70"/>
        <v>0</v>
      </c>
      <c r="M922" s="154">
        <f t="shared" si="71"/>
        <v>0</v>
      </c>
      <c r="N922" s="155">
        <f>+IF(OR($Q922=Parametres!$G$2,$Q922=Parametres!$G$3),I922,C922)</f>
        <v>0</v>
      </c>
      <c r="O922" s="1122">
        <f>+IF(OR($Q922=Parametres!$G$2,$Q922=Parametres!$G$3),J922,D922)</f>
        <v>0</v>
      </c>
      <c r="P922" s="155">
        <f>+IF(OR($Q922=Parametres!$G$2,$Q922=Parametres!$G$3),K922,E922)</f>
        <v>0</v>
      </c>
      <c r="Q922" s="154">
        <f t="shared" si="72"/>
        <v>0</v>
      </c>
      <c r="R922" s="153">
        <f t="shared" si="73"/>
        <v>0</v>
      </c>
      <c r="S922" s="154">
        <f t="shared" si="74"/>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hidden="1" customHeight="1">
      <c r="A923" s="157"/>
      <c r="B923" s="158"/>
      <c r="C923" s="159"/>
      <c r="D923" s="157"/>
      <c r="E923" s="157"/>
      <c r="F923" s="157"/>
      <c r="G923" s="157"/>
      <c r="H923" s="157"/>
      <c r="I923" s="157"/>
      <c r="J923" s="157"/>
      <c r="K923" s="157"/>
      <c r="L923" s="153">
        <f t="shared" si="70"/>
        <v>0</v>
      </c>
      <c r="M923" s="154">
        <f t="shared" si="71"/>
        <v>0</v>
      </c>
      <c r="N923" s="155">
        <f>+IF(OR($Q923=Parametres!$G$2,$Q923=Parametres!$G$3),I923,C923)</f>
        <v>0</v>
      </c>
      <c r="O923" s="1122">
        <f>+IF(OR($Q923=Parametres!$G$2,$Q923=Parametres!$G$3),J923,D923)</f>
        <v>0</v>
      </c>
      <c r="P923" s="155">
        <f>+IF(OR($Q923=Parametres!$G$2,$Q923=Parametres!$G$3),K923,E923)</f>
        <v>0</v>
      </c>
      <c r="Q923" s="154">
        <f t="shared" si="72"/>
        <v>0</v>
      </c>
      <c r="R923" s="153">
        <f t="shared" si="73"/>
        <v>0</v>
      </c>
      <c r="S923" s="154">
        <f t="shared" si="74"/>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hidden="1" customHeight="1">
      <c r="A924" s="157"/>
      <c r="B924" s="158"/>
      <c r="C924" s="159"/>
      <c r="D924" s="157"/>
      <c r="E924" s="157"/>
      <c r="F924" s="157"/>
      <c r="G924" s="157"/>
      <c r="H924" s="157"/>
      <c r="I924" s="157"/>
      <c r="J924" s="157"/>
      <c r="K924" s="157"/>
      <c r="L924" s="153">
        <f t="shared" si="70"/>
        <v>0</v>
      </c>
      <c r="M924" s="154">
        <f t="shared" si="71"/>
        <v>0</v>
      </c>
      <c r="N924" s="155">
        <f>+IF(OR($Q924=Parametres!$G$2,$Q924=Parametres!$G$3),I924,C924)</f>
        <v>0</v>
      </c>
      <c r="O924" s="1122">
        <f>+IF(OR($Q924=Parametres!$G$2,$Q924=Parametres!$G$3),J924,D924)</f>
        <v>0</v>
      </c>
      <c r="P924" s="155">
        <f>+IF(OR($Q924=Parametres!$G$2,$Q924=Parametres!$G$3),K924,E924)</f>
        <v>0</v>
      </c>
      <c r="Q924" s="154">
        <f t="shared" si="72"/>
        <v>0</v>
      </c>
      <c r="R924" s="153">
        <f t="shared" si="73"/>
        <v>0</v>
      </c>
      <c r="S924" s="154">
        <f t="shared" si="74"/>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hidden="1" customHeight="1">
      <c r="A925" s="157"/>
      <c r="B925" s="158"/>
      <c r="C925" s="159"/>
      <c r="D925" s="157"/>
      <c r="E925" s="157"/>
      <c r="F925" s="157"/>
      <c r="G925" s="157"/>
      <c r="H925" s="157"/>
      <c r="I925" s="157"/>
      <c r="J925" s="157"/>
      <c r="K925" s="157"/>
      <c r="L925" s="153">
        <f t="shared" si="70"/>
        <v>0</v>
      </c>
      <c r="M925" s="154">
        <f t="shared" si="71"/>
        <v>0</v>
      </c>
      <c r="N925" s="155">
        <f>+IF(OR($Q925=Parametres!$G$2,$Q925=Parametres!$G$3),I925,C925)</f>
        <v>0</v>
      </c>
      <c r="O925" s="1122">
        <f>+IF(OR($Q925=Parametres!$G$2,$Q925=Parametres!$G$3),J925,D925)</f>
        <v>0</v>
      </c>
      <c r="P925" s="155">
        <f>+IF(OR($Q925=Parametres!$G$2,$Q925=Parametres!$G$3),K925,E925)</f>
        <v>0</v>
      </c>
      <c r="Q925" s="154">
        <f t="shared" si="72"/>
        <v>0</v>
      </c>
      <c r="R925" s="153">
        <f t="shared" si="73"/>
        <v>0</v>
      </c>
      <c r="S925" s="154">
        <f t="shared" si="74"/>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hidden="1" customHeight="1">
      <c r="A926" s="157"/>
      <c r="B926" s="158"/>
      <c r="C926" s="159"/>
      <c r="D926" s="157"/>
      <c r="E926" s="157"/>
      <c r="F926" s="157"/>
      <c r="G926" s="157"/>
      <c r="H926" s="157"/>
      <c r="I926" s="157"/>
      <c r="J926" s="157"/>
      <c r="K926" s="157"/>
      <c r="L926" s="153">
        <f t="shared" si="70"/>
        <v>0</v>
      </c>
      <c r="M926" s="154">
        <f t="shared" si="71"/>
        <v>0</v>
      </c>
      <c r="N926" s="155">
        <f>+IF(OR($Q926=Parametres!$G$2,$Q926=Parametres!$G$3),I926,C926)</f>
        <v>0</v>
      </c>
      <c r="O926" s="1122">
        <f>+IF(OR($Q926=Parametres!$G$2,$Q926=Parametres!$G$3),J926,D926)</f>
        <v>0</v>
      </c>
      <c r="P926" s="155">
        <f>+IF(OR($Q926=Parametres!$G$2,$Q926=Parametres!$G$3),K926,E926)</f>
        <v>0</v>
      </c>
      <c r="Q926" s="154">
        <f t="shared" si="72"/>
        <v>0</v>
      </c>
      <c r="R926" s="153">
        <f t="shared" si="73"/>
        <v>0</v>
      </c>
      <c r="S926" s="154">
        <f t="shared" si="74"/>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hidden="1" customHeight="1">
      <c r="A927" s="157"/>
      <c r="B927" s="158"/>
      <c r="C927" s="159"/>
      <c r="D927" s="157"/>
      <c r="E927" s="157"/>
      <c r="F927" s="157"/>
      <c r="G927" s="157"/>
      <c r="H927" s="157"/>
      <c r="I927" s="157"/>
      <c r="J927" s="157"/>
      <c r="K927" s="157"/>
      <c r="L927" s="153">
        <f t="shared" si="70"/>
        <v>0</v>
      </c>
      <c r="M927" s="154">
        <f t="shared" si="71"/>
        <v>0</v>
      </c>
      <c r="N927" s="155">
        <f>+IF(OR($Q927=Parametres!$G$2,$Q927=Parametres!$G$3),I927,C927)</f>
        <v>0</v>
      </c>
      <c r="O927" s="1122">
        <f>+IF(OR($Q927=Parametres!$G$2,$Q927=Parametres!$G$3),J927,D927)</f>
        <v>0</v>
      </c>
      <c r="P927" s="155">
        <f>+IF(OR($Q927=Parametres!$G$2,$Q927=Parametres!$G$3),K927,E927)</f>
        <v>0</v>
      </c>
      <c r="Q927" s="154">
        <f t="shared" si="72"/>
        <v>0</v>
      </c>
      <c r="R927" s="153">
        <f t="shared" si="73"/>
        <v>0</v>
      </c>
      <c r="S927" s="154">
        <f t="shared" si="74"/>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hidden="1" customHeight="1">
      <c r="A928" s="157"/>
      <c r="B928" s="158"/>
      <c r="C928" s="159"/>
      <c r="D928" s="157"/>
      <c r="E928" s="157"/>
      <c r="F928" s="157"/>
      <c r="G928" s="157"/>
      <c r="H928" s="157"/>
      <c r="I928" s="157"/>
      <c r="J928" s="157"/>
      <c r="K928" s="157"/>
      <c r="L928" s="153">
        <f t="shared" si="70"/>
        <v>0</v>
      </c>
      <c r="M928" s="154">
        <f t="shared" si="71"/>
        <v>0</v>
      </c>
      <c r="N928" s="155">
        <f>+IF(OR($Q928=Parametres!$G$2,$Q928=Parametres!$G$3),I928,C928)</f>
        <v>0</v>
      </c>
      <c r="O928" s="1122">
        <f>+IF(OR($Q928=Parametres!$G$2,$Q928=Parametres!$G$3),J928,D928)</f>
        <v>0</v>
      </c>
      <c r="P928" s="155">
        <f>+IF(OR($Q928=Parametres!$G$2,$Q928=Parametres!$G$3),K928,E928)</f>
        <v>0</v>
      </c>
      <c r="Q928" s="154">
        <f t="shared" si="72"/>
        <v>0</v>
      </c>
      <c r="R928" s="153">
        <f t="shared" si="73"/>
        <v>0</v>
      </c>
      <c r="S928" s="154">
        <f t="shared" si="74"/>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hidden="1" customHeight="1">
      <c r="A929" s="157"/>
      <c r="B929" s="158"/>
      <c r="C929" s="159"/>
      <c r="D929" s="157"/>
      <c r="E929" s="157"/>
      <c r="F929" s="157"/>
      <c r="G929" s="157"/>
      <c r="H929" s="157"/>
      <c r="I929" s="157"/>
      <c r="J929" s="157"/>
      <c r="K929" s="157"/>
      <c r="L929" s="153">
        <f t="shared" si="70"/>
        <v>0</v>
      </c>
      <c r="M929" s="154">
        <f t="shared" si="71"/>
        <v>0</v>
      </c>
      <c r="N929" s="155">
        <f>+IF(OR($Q929=Parametres!$G$2,$Q929=Parametres!$G$3),I929,C929)</f>
        <v>0</v>
      </c>
      <c r="O929" s="1122">
        <f>+IF(OR($Q929=Parametres!$G$2,$Q929=Parametres!$G$3),J929,D929)</f>
        <v>0</v>
      </c>
      <c r="P929" s="155">
        <f>+IF(OR($Q929=Parametres!$G$2,$Q929=Parametres!$G$3),K929,E929)</f>
        <v>0</v>
      </c>
      <c r="Q929" s="154">
        <f t="shared" si="72"/>
        <v>0</v>
      </c>
      <c r="R929" s="153">
        <f t="shared" si="73"/>
        <v>0</v>
      </c>
      <c r="S929" s="154">
        <f t="shared" si="74"/>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hidden="1" customHeight="1">
      <c r="A930" s="157"/>
      <c r="B930" s="158"/>
      <c r="C930" s="159"/>
      <c r="D930" s="157"/>
      <c r="E930" s="157"/>
      <c r="F930" s="157"/>
      <c r="G930" s="157"/>
      <c r="H930" s="157"/>
      <c r="I930" s="157"/>
      <c r="J930" s="157"/>
      <c r="K930" s="157"/>
      <c r="L930" s="153">
        <f t="shared" si="70"/>
        <v>0</v>
      </c>
      <c r="M930" s="154">
        <f t="shared" si="71"/>
        <v>0</v>
      </c>
      <c r="N930" s="155">
        <f>+IF(OR($Q930=Parametres!$G$2,$Q930=Parametres!$G$3),I930,C930)</f>
        <v>0</v>
      </c>
      <c r="O930" s="1122">
        <f>+IF(OR($Q930=Parametres!$G$2,$Q930=Parametres!$G$3),J930,D930)</f>
        <v>0</v>
      </c>
      <c r="P930" s="155">
        <f>+IF(OR($Q930=Parametres!$G$2,$Q930=Parametres!$G$3),K930,E930)</f>
        <v>0</v>
      </c>
      <c r="Q930" s="154">
        <f t="shared" si="72"/>
        <v>0</v>
      </c>
      <c r="R930" s="153">
        <f t="shared" si="73"/>
        <v>0</v>
      </c>
      <c r="S930" s="154">
        <f t="shared" si="74"/>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hidden="1" customHeight="1">
      <c r="A931" s="157"/>
      <c r="B931" s="158"/>
      <c r="C931" s="159"/>
      <c r="D931" s="157"/>
      <c r="E931" s="157"/>
      <c r="F931" s="157"/>
      <c r="G931" s="157"/>
      <c r="H931" s="157"/>
      <c r="I931" s="157"/>
      <c r="J931" s="157"/>
      <c r="K931" s="157"/>
      <c r="L931" s="153">
        <f t="shared" si="70"/>
        <v>0</v>
      </c>
      <c r="M931" s="154">
        <f t="shared" si="71"/>
        <v>0</v>
      </c>
      <c r="N931" s="155">
        <f>+IF(OR($Q931=Parametres!$G$2,$Q931=Parametres!$G$3),I931,C931)</f>
        <v>0</v>
      </c>
      <c r="O931" s="1122">
        <f>+IF(OR($Q931=Parametres!$G$2,$Q931=Parametres!$G$3),J931,D931)</f>
        <v>0</v>
      </c>
      <c r="P931" s="155">
        <f>+IF(OR($Q931=Parametres!$G$2,$Q931=Parametres!$G$3),K931,E931)</f>
        <v>0</v>
      </c>
      <c r="Q931" s="154">
        <f t="shared" si="72"/>
        <v>0</v>
      </c>
      <c r="R931" s="153">
        <f t="shared" si="73"/>
        <v>0</v>
      </c>
      <c r="S931" s="154">
        <f t="shared" si="74"/>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hidden="1" customHeight="1">
      <c r="A932" s="157"/>
      <c r="B932" s="158"/>
      <c r="C932" s="159"/>
      <c r="D932" s="157"/>
      <c r="E932" s="157"/>
      <c r="F932" s="157"/>
      <c r="G932" s="157"/>
      <c r="H932" s="157"/>
      <c r="I932" s="157"/>
      <c r="J932" s="157"/>
      <c r="K932" s="157"/>
      <c r="L932" s="153">
        <f t="shared" si="70"/>
        <v>0</v>
      </c>
      <c r="M932" s="154">
        <f t="shared" si="71"/>
        <v>0</v>
      </c>
      <c r="N932" s="155">
        <f>+IF(OR($Q932=Parametres!$G$2,$Q932=Parametres!$G$3),I932,C932)</f>
        <v>0</v>
      </c>
      <c r="O932" s="1122">
        <f>+IF(OR($Q932=Parametres!$G$2,$Q932=Parametres!$G$3),J932,D932)</f>
        <v>0</v>
      </c>
      <c r="P932" s="155">
        <f>+IF(OR($Q932=Parametres!$G$2,$Q932=Parametres!$G$3),K932,E932)</f>
        <v>0</v>
      </c>
      <c r="Q932" s="154">
        <f t="shared" si="72"/>
        <v>0</v>
      </c>
      <c r="R932" s="153">
        <f t="shared" si="73"/>
        <v>0</v>
      </c>
      <c r="S932" s="154">
        <f t="shared" si="74"/>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hidden="1" customHeight="1">
      <c r="A933" s="157"/>
      <c r="B933" s="158"/>
      <c r="C933" s="159"/>
      <c r="D933" s="157"/>
      <c r="E933" s="157"/>
      <c r="F933" s="157"/>
      <c r="G933" s="157"/>
      <c r="H933" s="157"/>
      <c r="I933" s="157"/>
      <c r="J933" s="157"/>
      <c r="K933" s="157"/>
      <c r="L933" s="153">
        <f t="shared" si="70"/>
        <v>0</v>
      </c>
      <c r="M933" s="154">
        <f t="shared" si="71"/>
        <v>0</v>
      </c>
      <c r="N933" s="155">
        <f>+IF(OR($Q933=Parametres!$G$2,$Q933=Parametres!$G$3),I933,C933)</f>
        <v>0</v>
      </c>
      <c r="O933" s="1122">
        <f>+IF(OR($Q933=Parametres!$G$2,$Q933=Parametres!$G$3),J933,D933)</f>
        <v>0</v>
      </c>
      <c r="P933" s="155">
        <f>+IF(OR($Q933=Parametres!$G$2,$Q933=Parametres!$G$3),K933,E933)</f>
        <v>0</v>
      </c>
      <c r="Q933" s="154">
        <f t="shared" si="72"/>
        <v>0</v>
      </c>
      <c r="R933" s="153">
        <f t="shared" si="73"/>
        <v>0</v>
      </c>
      <c r="S933" s="154">
        <f t="shared" si="74"/>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hidden="1" customHeight="1">
      <c r="A934" s="157"/>
      <c r="B934" s="158"/>
      <c r="C934" s="159"/>
      <c r="D934" s="157"/>
      <c r="E934" s="157"/>
      <c r="F934" s="157"/>
      <c r="G934" s="157"/>
      <c r="H934" s="157"/>
      <c r="I934" s="157"/>
      <c r="J934" s="157"/>
      <c r="K934" s="157"/>
      <c r="L934" s="153">
        <f t="shared" si="70"/>
        <v>0</v>
      </c>
      <c r="M934" s="154">
        <f t="shared" si="71"/>
        <v>0</v>
      </c>
      <c r="N934" s="155">
        <f>+IF(OR($Q934=Parametres!$G$2,$Q934=Parametres!$G$3),I934,C934)</f>
        <v>0</v>
      </c>
      <c r="O934" s="1122">
        <f>+IF(OR($Q934=Parametres!$G$2,$Q934=Parametres!$G$3),J934,D934)</f>
        <v>0</v>
      </c>
      <c r="P934" s="155">
        <f>+IF(OR($Q934=Parametres!$G$2,$Q934=Parametres!$G$3),K934,E934)</f>
        <v>0</v>
      </c>
      <c r="Q934" s="154">
        <f t="shared" si="72"/>
        <v>0</v>
      </c>
      <c r="R934" s="153">
        <f t="shared" si="73"/>
        <v>0</v>
      </c>
      <c r="S934" s="154">
        <f t="shared" si="74"/>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hidden="1" customHeight="1">
      <c r="A935" s="157"/>
      <c r="B935" s="158"/>
      <c r="C935" s="159"/>
      <c r="D935" s="157"/>
      <c r="E935" s="157"/>
      <c r="F935" s="157"/>
      <c r="G935" s="157"/>
      <c r="H935" s="157"/>
      <c r="I935" s="157"/>
      <c r="J935" s="157"/>
      <c r="K935" s="157"/>
      <c r="L935" s="153">
        <f t="shared" si="70"/>
        <v>0</v>
      </c>
      <c r="M935" s="154">
        <f t="shared" si="71"/>
        <v>0</v>
      </c>
      <c r="N935" s="155">
        <f>+IF(OR($Q935=Parametres!$G$2,$Q935=Parametres!$G$3),I935,C935)</f>
        <v>0</v>
      </c>
      <c r="O935" s="1122">
        <f>+IF(OR($Q935=Parametres!$G$2,$Q935=Parametres!$G$3),J935,D935)</f>
        <v>0</v>
      </c>
      <c r="P935" s="155">
        <f>+IF(OR($Q935=Parametres!$G$2,$Q935=Parametres!$G$3),K935,E935)</f>
        <v>0</v>
      </c>
      <c r="Q935" s="154">
        <f t="shared" si="72"/>
        <v>0</v>
      </c>
      <c r="R935" s="153">
        <f t="shared" si="73"/>
        <v>0</v>
      </c>
      <c r="S935" s="154">
        <f t="shared" si="74"/>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hidden="1" customHeight="1">
      <c r="A936" s="157"/>
      <c r="B936" s="158"/>
      <c r="C936" s="159"/>
      <c r="D936" s="157"/>
      <c r="E936" s="157"/>
      <c r="F936" s="157"/>
      <c r="G936" s="157"/>
      <c r="H936" s="157"/>
      <c r="I936" s="157"/>
      <c r="J936" s="157"/>
      <c r="K936" s="157"/>
      <c r="L936" s="153">
        <f t="shared" si="70"/>
        <v>0</v>
      </c>
      <c r="M936" s="154">
        <f t="shared" si="71"/>
        <v>0</v>
      </c>
      <c r="N936" s="155">
        <f>+IF(OR($Q936=Parametres!$G$2,$Q936=Parametres!$G$3),I936,C936)</f>
        <v>0</v>
      </c>
      <c r="O936" s="1122">
        <f>+IF(OR($Q936=Parametres!$G$2,$Q936=Parametres!$G$3),J936,D936)</f>
        <v>0</v>
      </c>
      <c r="P936" s="155">
        <f>+IF(OR($Q936=Parametres!$G$2,$Q936=Parametres!$G$3),K936,E936)</f>
        <v>0</v>
      </c>
      <c r="Q936" s="154">
        <f t="shared" si="72"/>
        <v>0</v>
      </c>
      <c r="R936" s="153">
        <f t="shared" si="73"/>
        <v>0</v>
      </c>
      <c r="S936" s="154">
        <f t="shared" si="74"/>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hidden="1" customHeight="1">
      <c r="A937" s="157"/>
      <c r="B937" s="158"/>
      <c r="C937" s="159"/>
      <c r="D937" s="157"/>
      <c r="E937" s="157"/>
      <c r="F937" s="157"/>
      <c r="G937" s="157"/>
      <c r="H937" s="157"/>
      <c r="I937" s="157"/>
      <c r="J937" s="157"/>
      <c r="K937" s="157"/>
      <c r="L937" s="153">
        <f t="shared" si="70"/>
        <v>0</v>
      </c>
      <c r="M937" s="154">
        <f t="shared" si="71"/>
        <v>0</v>
      </c>
      <c r="N937" s="155">
        <f>+IF(OR($Q937=Parametres!$G$2,$Q937=Parametres!$G$3),I937,C937)</f>
        <v>0</v>
      </c>
      <c r="O937" s="1122">
        <f>+IF(OR($Q937=Parametres!$G$2,$Q937=Parametres!$G$3),J937,D937)</f>
        <v>0</v>
      </c>
      <c r="P937" s="155">
        <f>+IF(OR($Q937=Parametres!$G$2,$Q937=Parametres!$G$3),K937,E937)</f>
        <v>0</v>
      </c>
      <c r="Q937" s="154">
        <f t="shared" si="72"/>
        <v>0</v>
      </c>
      <c r="R937" s="153">
        <f t="shared" si="73"/>
        <v>0</v>
      </c>
      <c r="S937" s="154">
        <f t="shared" si="74"/>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hidden="1" customHeight="1">
      <c r="A938" s="157"/>
      <c r="B938" s="158"/>
      <c r="C938" s="159"/>
      <c r="D938" s="157"/>
      <c r="E938" s="157"/>
      <c r="F938" s="157"/>
      <c r="G938" s="157"/>
      <c r="H938" s="157"/>
      <c r="I938" s="157"/>
      <c r="J938" s="157"/>
      <c r="K938" s="157"/>
      <c r="L938" s="153">
        <f t="shared" si="70"/>
        <v>0</v>
      </c>
      <c r="M938" s="154">
        <f t="shared" si="71"/>
        <v>0</v>
      </c>
      <c r="N938" s="155">
        <f>+IF(OR($Q938=Parametres!$G$2,$Q938=Parametres!$G$3),I938,C938)</f>
        <v>0</v>
      </c>
      <c r="O938" s="1122">
        <f>+IF(OR($Q938=Parametres!$G$2,$Q938=Parametres!$G$3),J938,D938)</f>
        <v>0</v>
      </c>
      <c r="P938" s="155">
        <f>+IF(OR($Q938=Parametres!$G$2,$Q938=Parametres!$G$3),K938,E938)</f>
        <v>0</v>
      </c>
      <c r="Q938" s="154">
        <f t="shared" si="72"/>
        <v>0</v>
      </c>
      <c r="R938" s="153">
        <f t="shared" si="73"/>
        <v>0</v>
      </c>
      <c r="S938" s="154">
        <f t="shared" si="74"/>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hidden="1" customHeight="1">
      <c r="A939" s="157"/>
      <c r="B939" s="158"/>
      <c r="C939" s="159"/>
      <c r="D939" s="157"/>
      <c r="E939" s="157"/>
      <c r="F939" s="157"/>
      <c r="G939" s="157"/>
      <c r="H939" s="157"/>
      <c r="I939" s="157"/>
      <c r="J939" s="157"/>
      <c r="K939" s="157"/>
      <c r="L939" s="153">
        <f t="shared" si="70"/>
        <v>0</v>
      </c>
      <c r="M939" s="154">
        <f t="shared" si="71"/>
        <v>0</v>
      </c>
      <c r="N939" s="155">
        <f>+IF(OR($Q939=Parametres!$G$2,$Q939=Parametres!$G$3),I939,C939)</f>
        <v>0</v>
      </c>
      <c r="O939" s="1122">
        <f>+IF(OR($Q939=Parametres!$G$2,$Q939=Parametres!$G$3),J939,D939)</f>
        <v>0</v>
      </c>
      <c r="P939" s="155">
        <f>+IF(OR($Q939=Parametres!$G$2,$Q939=Parametres!$G$3),K939,E939)</f>
        <v>0</v>
      </c>
      <c r="Q939" s="154">
        <f t="shared" si="72"/>
        <v>0</v>
      </c>
      <c r="R939" s="153">
        <f t="shared" si="73"/>
        <v>0</v>
      </c>
      <c r="S939" s="154">
        <f t="shared" si="74"/>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hidden="1" customHeight="1">
      <c r="A940" s="157"/>
      <c r="B940" s="158"/>
      <c r="C940" s="159"/>
      <c r="D940" s="157"/>
      <c r="E940" s="157"/>
      <c r="F940" s="157"/>
      <c r="G940" s="157"/>
      <c r="H940" s="157"/>
      <c r="I940" s="157"/>
      <c r="J940" s="157"/>
      <c r="K940" s="157"/>
      <c r="L940" s="153">
        <f t="shared" si="70"/>
        <v>0</v>
      </c>
      <c r="M940" s="154">
        <f t="shared" si="71"/>
        <v>0</v>
      </c>
      <c r="N940" s="155">
        <f>+IF(OR($Q940=Parametres!$G$2,$Q940=Parametres!$G$3),I940,C940)</f>
        <v>0</v>
      </c>
      <c r="O940" s="1122">
        <f>+IF(OR($Q940=Parametres!$G$2,$Q940=Parametres!$G$3),J940,D940)</f>
        <v>0</v>
      </c>
      <c r="P940" s="155">
        <f>+IF(OR($Q940=Parametres!$G$2,$Q940=Parametres!$G$3),K940,E940)</f>
        <v>0</v>
      </c>
      <c r="Q940" s="154">
        <f t="shared" si="72"/>
        <v>0</v>
      </c>
      <c r="R940" s="153">
        <f t="shared" si="73"/>
        <v>0</v>
      </c>
      <c r="S940" s="154">
        <f t="shared" si="74"/>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hidden="1" customHeight="1">
      <c r="A941" s="157"/>
      <c r="B941" s="158"/>
      <c r="C941" s="159"/>
      <c r="D941" s="157"/>
      <c r="E941" s="157"/>
      <c r="F941" s="157"/>
      <c r="G941" s="157"/>
      <c r="H941" s="157"/>
      <c r="I941" s="157"/>
      <c r="J941" s="157"/>
      <c r="K941" s="157"/>
      <c r="L941" s="153">
        <f t="shared" si="70"/>
        <v>0</v>
      </c>
      <c r="M941" s="154">
        <f t="shared" si="71"/>
        <v>0</v>
      </c>
      <c r="N941" s="155">
        <f>+IF(OR($Q941=Parametres!$G$2,$Q941=Parametres!$G$3),I941,C941)</f>
        <v>0</v>
      </c>
      <c r="O941" s="1122">
        <f>+IF(OR($Q941=Parametres!$G$2,$Q941=Parametres!$G$3),J941,D941)</f>
        <v>0</v>
      </c>
      <c r="P941" s="155">
        <f>+IF(OR($Q941=Parametres!$G$2,$Q941=Parametres!$G$3),K941,E941)</f>
        <v>0</v>
      </c>
      <c r="Q941" s="154">
        <f t="shared" si="72"/>
        <v>0</v>
      </c>
      <c r="R941" s="153">
        <f t="shared" si="73"/>
        <v>0</v>
      </c>
      <c r="S941" s="154">
        <f t="shared" si="74"/>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hidden="1" customHeight="1">
      <c r="A942" s="157"/>
      <c r="B942" s="158"/>
      <c r="C942" s="159"/>
      <c r="D942" s="157"/>
      <c r="E942" s="157"/>
      <c r="F942" s="157"/>
      <c r="G942" s="157"/>
      <c r="H942" s="157"/>
      <c r="I942" s="157"/>
      <c r="J942" s="157"/>
      <c r="K942" s="157"/>
      <c r="L942" s="153">
        <f t="shared" si="70"/>
        <v>0</v>
      </c>
      <c r="M942" s="154">
        <f t="shared" si="71"/>
        <v>0</v>
      </c>
      <c r="N942" s="155">
        <f>+IF(OR($Q942=Parametres!$G$2,$Q942=Parametres!$G$3),I942,C942)</f>
        <v>0</v>
      </c>
      <c r="O942" s="1122">
        <f>+IF(OR($Q942=Parametres!$G$2,$Q942=Parametres!$G$3),J942,D942)</f>
        <v>0</v>
      </c>
      <c r="P942" s="155">
        <f>+IF(OR($Q942=Parametres!$G$2,$Q942=Parametres!$G$3),K942,E942)</f>
        <v>0</v>
      </c>
      <c r="Q942" s="154">
        <f t="shared" si="72"/>
        <v>0</v>
      </c>
      <c r="R942" s="153">
        <f t="shared" si="73"/>
        <v>0</v>
      </c>
      <c r="S942" s="154">
        <f t="shared" si="74"/>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hidden="1" customHeight="1">
      <c r="A943" s="157"/>
      <c r="B943" s="158"/>
      <c r="C943" s="159"/>
      <c r="D943" s="157"/>
      <c r="E943" s="157"/>
      <c r="F943" s="157"/>
      <c r="G943" s="157"/>
      <c r="H943" s="157"/>
      <c r="I943" s="157"/>
      <c r="J943" s="157"/>
      <c r="K943" s="157"/>
      <c r="L943" s="153">
        <f t="shared" si="70"/>
        <v>0</v>
      </c>
      <c r="M943" s="154">
        <f t="shared" si="71"/>
        <v>0</v>
      </c>
      <c r="N943" s="155">
        <f>+IF(OR($Q943=Parametres!$G$2,$Q943=Parametres!$G$3),I943,C943)</f>
        <v>0</v>
      </c>
      <c r="O943" s="1122">
        <f>+IF(OR($Q943=Parametres!$G$2,$Q943=Parametres!$G$3),J943,D943)</f>
        <v>0</v>
      </c>
      <c r="P943" s="155">
        <f>+IF(OR($Q943=Parametres!$G$2,$Q943=Parametres!$G$3),K943,E943)</f>
        <v>0</v>
      </c>
      <c r="Q943" s="154">
        <f t="shared" si="72"/>
        <v>0</v>
      </c>
      <c r="R943" s="153">
        <f t="shared" si="73"/>
        <v>0</v>
      </c>
      <c r="S943" s="154">
        <f t="shared" si="74"/>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hidden="1" customHeight="1">
      <c r="A944" s="157"/>
      <c r="B944" s="158"/>
      <c r="C944" s="159"/>
      <c r="D944" s="157"/>
      <c r="E944" s="157"/>
      <c r="F944" s="157"/>
      <c r="G944" s="157"/>
      <c r="H944" s="157"/>
      <c r="I944" s="157"/>
      <c r="J944" s="157"/>
      <c r="K944" s="157"/>
      <c r="L944" s="153">
        <f t="shared" si="70"/>
        <v>0</v>
      </c>
      <c r="M944" s="154">
        <f t="shared" si="71"/>
        <v>0</v>
      </c>
      <c r="N944" s="155">
        <f>+IF(OR($Q944=Parametres!$G$2,$Q944=Parametres!$G$3),I944,C944)</f>
        <v>0</v>
      </c>
      <c r="O944" s="1122">
        <f>+IF(OR($Q944=Parametres!$G$2,$Q944=Parametres!$G$3),J944,D944)</f>
        <v>0</v>
      </c>
      <c r="P944" s="155">
        <f>+IF(OR($Q944=Parametres!$G$2,$Q944=Parametres!$G$3),K944,E944)</f>
        <v>0</v>
      </c>
      <c r="Q944" s="154">
        <f t="shared" si="72"/>
        <v>0</v>
      </c>
      <c r="R944" s="153">
        <f t="shared" si="73"/>
        <v>0</v>
      </c>
      <c r="S944" s="154">
        <f t="shared" si="74"/>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hidden="1" customHeight="1">
      <c r="A945" s="157"/>
      <c r="B945" s="158"/>
      <c r="C945" s="159"/>
      <c r="D945" s="157"/>
      <c r="E945" s="157"/>
      <c r="F945" s="157"/>
      <c r="G945" s="157"/>
      <c r="H945" s="157"/>
      <c r="I945" s="157"/>
      <c r="J945" s="157"/>
      <c r="K945" s="157"/>
      <c r="L945" s="153">
        <f t="shared" si="70"/>
        <v>0</v>
      </c>
      <c r="M945" s="154">
        <f t="shared" si="71"/>
        <v>0</v>
      </c>
      <c r="N945" s="155">
        <f>+IF(OR($Q945=Parametres!$G$2,$Q945=Parametres!$G$3),I945,C945)</f>
        <v>0</v>
      </c>
      <c r="O945" s="1122">
        <f>+IF(OR($Q945=Parametres!$G$2,$Q945=Parametres!$G$3),J945,D945)</f>
        <v>0</v>
      </c>
      <c r="P945" s="155">
        <f>+IF(OR($Q945=Parametres!$G$2,$Q945=Parametres!$G$3),K945,E945)</f>
        <v>0</v>
      </c>
      <c r="Q945" s="154">
        <f t="shared" si="72"/>
        <v>0</v>
      </c>
      <c r="R945" s="153">
        <f t="shared" si="73"/>
        <v>0</v>
      </c>
      <c r="S945" s="154">
        <f t="shared" si="74"/>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hidden="1" customHeight="1">
      <c r="A946" s="157"/>
      <c r="B946" s="158"/>
      <c r="C946" s="159"/>
      <c r="D946" s="157"/>
      <c r="E946" s="157"/>
      <c r="F946" s="157"/>
      <c r="G946" s="157"/>
      <c r="H946" s="157"/>
      <c r="I946" s="157"/>
      <c r="J946" s="157"/>
      <c r="K946" s="157"/>
      <c r="L946" s="153">
        <f t="shared" si="70"/>
        <v>0</v>
      </c>
      <c r="M946" s="154">
        <f t="shared" si="71"/>
        <v>0</v>
      </c>
      <c r="N946" s="155">
        <f>+IF(OR($Q946=Parametres!$G$2,$Q946=Parametres!$G$3),I946,C946)</f>
        <v>0</v>
      </c>
      <c r="O946" s="1122">
        <f>+IF(OR($Q946=Parametres!$G$2,$Q946=Parametres!$G$3),J946,D946)</f>
        <v>0</v>
      </c>
      <c r="P946" s="155">
        <f>+IF(OR($Q946=Parametres!$G$2,$Q946=Parametres!$G$3),K946,E946)</f>
        <v>0</v>
      </c>
      <c r="Q946" s="154">
        <f t="shared" si="72"/>
        <v>0</v>
      </c>
      <c r="R946" s="153">
        <f t="shared" si="73"/>
        <v>0</v>
      </c>
      <c r="S946" s="154">
        <f t="shared" si="74"/>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hidden="1" customHeight="1">
      <c r="A947" s="157"/>
      <c r="B947" s="158"/>
      <c r="C947" s="159"/>
      <c r="D947" s="157"/>
      <c r="E947" s="157"/>
      <c r="F947" s="157"/>
      <c r="G947" s="157"/>
      <c r="H947" s="157"/>
      <c r="I947" s="157"/>
      <c r="J947" s="157"/>
      <c r="K947" s="157"/>
      <c r="L947" s="153">
        <f t="shared" si="70"/>
        <v>0</v>
      </c>
      <c r="M947" s="154">
        <f t="shared" si="71"/>
        <v>0</v>
      </c>
      <c r="N947" s="155">
        <f>+IF(OR($Q947=Parametres!$G$2,$Q947=Parametres!$G$3),I947,C947)</f>
        <v>0</v>
      </c>
      <c r="O947" s="1122">
        <f>+IF(OR($Q947=Parametres!$G$2,$Q947=Parametres!$G$3),J947,D947)</f>
        <v>0</v>
      </c>
      <c r="P947" s="155">
        <f>+IF(OR($Q947=Parametres!$G$2,$Q947=Parametres!$G$3),K947,E947)</f>
        <v>0</v>
      </c>
      <c r="Q947" s="154">
        <f t="shared" si="72"/>
        <v>0</v>
      </c>
      <c r="R947" s="153">
        <f t="shared" si="73"/>
        <v>0</v>
      </c>
      <c r="S947" s="154">
        <f t="shared" si="74"/>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hidden="1" customHeight="1">
      <c r="A948" s="157"/>
      <c r="B948" s="158"/>
      <c r="C948" s="159"/>
      <c r="D948" s="157"/>
      <c r="E948" s="157"/>
      <c r="F948" s="157"/>
      <c r="G948" s="157"/>
      <c r="H948" s="157"/>
      <c r="I948" s="157"/>
      <c r="J948" s="157"/>
      <c r="K948" s="157"/>
      <c r="L948" s="153">
        <f t="shared" si="70"/>
        <v>0</v>
      </c>
      <c r="M948" s="154">
        <f t="shared" si="71"/>
        <v>0</v>
      </c>
      <c r="N948" s="155">
        <f>+IF(OR($Q948=Parametres!$G$2,$Q948=Parametres!$G$3),I948,C948)</f>
        <v>0</v>
      </c>
      <c r="O948" s="1122">
        <f>+IF(OR($Q948=Parametres!$G$2,$Q948=Parametres!$G$3),J948,D948)</f>
        <v>0</v>
      </c>
      <c r="P948" s="155">
        <f>+IF(OR($Q948=Parametres!$G$2,$Q948=Parametres!$G$3),K948,E948)</f>
        <v>0</v>
      </c>
      <c r="Q948" s="154">
        <f t="shared" si="72"/>
        <v>0</v>
      </c>
      <c r="R948" s="153">
        <f t="shared" si="73"/>
        <v>0</v>
      </c>
      <c r="S948" s="154">
        <f t="shared" si="74"/>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hidden="1" customHeight="1">
      <c r="A949" s="157"/>
      <c r="B949" s="158"/>
      <c r="C949" s="159"/>
      <c r="D949" s="157"/>
      <c r="E949" s="157"/>
      <c r="F949" s="157"/>
      <c r="G949" s="157"/>
      <c r="H949" s="157"/>
      <c r="I949" s="157"/>
      <c r="J949" s="157"/>
      <c r="K949" s="157"/>
      <c r="L949" s="153">
        <f t="shared" si="70"/>
        <v>0</v>
      </c>
      <c r="M949" s="154">
        <f t="shared" si="71"/>
        <v>0</v>
      </c>
      <c r="N949" s="155">
        <f>+IF(OR($Q949=Parametres!$G$2,$Q949=Parametres!$G$3),I949,C949)</f>
        <v>0</v>
      </c>
      <c r="O949" s="1122">
        <f>+IF(OR($Q949=Parametres!$G$2,$Q949=Parametres!$G$3),J949,D949)</f>
        <v>0</v>
      </c>
      <c r="P949" s="155">
        <f>+IF(OR($Q949=Parametres!$G$2,$Q949=Parametres!$G$3),K949,E949)</f>
        <v>0</v>
      </c>
      <c r="Q949" s="154">
        <f t="shared" si="72"/>
        <v>0</v>
      </c>
      <c r="R949" s="153">
        <f t="shared" si="73"/>
        <v>0</v>
      </c>
      <c r="S949" s="154">
        <f t="shared" si="74"/>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hidden="1" customHeight="1">
      <c r="A950" s="157"/>
      <c r="B950" s="158"/>
      <c r="C950" s="159"/>
      <c r="D950" s="157"/>
      <c r="E950" s="157"/>
      <c r="F950" s="157"/>
      <c r="G950" s="157"/>
      <c r="H950" s="157"/>
      <c r="I950" s="157"/>
      <c r="J950" s="157"/>
      <c r="K950" s="157"/>
      <c r="L950" s="153">
        <f t="shared" si="70"/>
        <v>0</v>
      </c>
      <c r="M950" s="154">
        <f t="shared" si="71"/>
        <v>0</v>
      </c>
      <c r="N950" s="155">
        <f>+IF(OR($Q950=Parametres!$G$2,$Q950=Parametres!$G$3),I950,C950)</f>
        <v>0</v>
      </c>
      <c r="O950" s="1122">
        <f>+IF(OR($Q950=Parametres!$G$2,$Q950=Parametres!$G$3),J950,D950)</f>
        <v>0</v>
      </c>
      <c r="P950" s="155">
        <f>+IF(OR($Q950=Parametres!$G$2,$Q950=Parametres!$G$3),K950,E950)</f>
        <v>0</v>
      </c>
      <c r="Q950" s="154">
        <f t="shared" si="72"/>
        <v>0</v>
      </c>
      <c r="R950" s="153">
        <f t="shared" si="73"/>
        <v>0</v>
      </c>
      <c r="S950" s="154">
        <f t="shared" si="74"/>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hidden="1" customHeight="1">
      <c r="A951" s="157"/>
      <c r="B951" s="158"/>
      <c r="C951" s="159"/>
      <c r="D951" s="157"/>
      <c r="E951" s="157"/>
      <c r="F951" s="157"/>
      <c r="G951" s="157"/>
      <c r="H951" s="157"/>
      <c r="I951" s="157"/>
      <c r="J951" s="157"/>
      <c r="K951" s="157"/>
      <c r="L951" s="153">
        <f t="shared" si="70"/>
        <v>0</v>
      </c>
      <c r="M951" s="154">
        <f t="shared" si="71"/>
        <v>0</v>
      </c>
      <c r="N951" s="155">
        <f>+IF(OR($Q951=Parametres!$G$2,$Q951=Parametres!$G$3),I951,C951)</f>
        <v>0</v>
      </c>
      <c r="O951" s="1122">
        <f>+IF(OR($Q951=Parametres!$G$2,$Q951=Parametres!$G$3),J951,D951)</f>
        <v>0</v>
      </c>
      <c r="P951" s="155">
        <f>+IF(OR($Q951=Parametres!$G$2,$Q951=Parametres!$G$3),K951,E951)</f>
        <v>0</v>
      </c>
      <c r="Q951" s="154">
        <f t="shared" si="72"/>
        <v>0</v>
      </c>
      <c r="R951" s="153">
        <f t="shared" si="73"/>
        <v>0</v>
      </c>
      <c r="S951" s="154">
        <f t="shared" si="74"/>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hidden="1" customHeight="1">
      <c r="A952" s="157"/>
      <c r="B952" s="158"/>
      <c r="C952" s="159"/>
      <c r="D952" s="157"/>
      <c r="E952" s="157"/>
      <c r="F952" s="157"/>
      <c r="G952" s="157"/>
      <c r="H952" s="157"/>
      <c r="I952" s="157"/>
      <c r="J952" s="157"/>
      <c r="K952" s="157"/>
      <c r="L952" s="153">
        <f t="shared" si="70"/>
        <v>0</v>
      </c>
      <c r="M952" s="154">
        <f t="shared" si="71"/>
        <v>0</v>
      </c>
      <c r="N952" s="155">
        <f>+IF(OR($Q952=Parametres!$G$2,$Q952=Parametres!$G$3),I952,C952)</f>
        <v>0</v>
      </c>
      <c r="O952" s="1122">
        <f>+IF(OR($Q952=Parametres!$G$2,$Q952=Parametres!$G$3),J952,D952)</f>
        <v>0</v>
      </c>
      <c r="P952" s="155">
        <f>+IF(OR($Q952=Parametres!$G$2,$Q952=Parametres!$G$3),K952,E952)</f>
        <v>0</v>
      </c>
      <c r="Q952" s="154">
        <f t="shared" si="72"/>
        <v>0</v>
      </c>
      <c r="R952" s="153">
        <f t="shared" si="73"/>
        <v>0</v>
      </c>
      <c r="S952" s="154">
        <f t="shared" si="74"/>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hidden="1" customHeight="1">
      <c r="A953" s="157"/>
      <c r="B953" s="158"/>
      <c r="C953" s="159"/>
      <c r="D953" s="157"/>
      <c r="E953" s="157"/>
      <c r="F953" s="157"/>
      <c r="G953" s="157"/>
      <c r="H953" s="157"/>
      <c r="I953" s="157"/>
      <c r="J953" s="157"/>
      <c r="K953" s="157"/>
      <c r="L953" s="153">
        <f t="shared" si="70"/>
        <v>0</v>
      </c>
      <c r="M953" s="154">
        <f t="shared" si="71"/>
        <v>0</v>
      </c>
      <c r="N953" s="155">
        <f>+IF(OR($Q953=Parametres!$G$2,$Q953=Parametres!$G$3),I953,C953)</f>
        <v>0</v>
      </c>
      <c r="O953" s="1122">
        <f>+IF(OR($Q953=Parametres!$G$2,$Q953=Parametres!$G$3),J953,D953)</f>
        <v>0</v>
      </c>
      <c r="P953" s="155">
        <f>+IF(OR($Q953=Parametres!$G$2,$Q953=Parametres!$G$3),K953,E953)</f>
        <v>0</v>
      </c>
      <c r="Q953" s="154">
        <f t="shared" si="72"/>
        <v>0</v>
      </c>
      <c r="R953" s="153">
        <f t="shared" si="73"/>
        <v>0</v>
      </c>
      <c r="S953" s="154">
        <f t="shared" si="74"/>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hidden="1" customHeight="1">
      <c r="A954" s="157"/>
      <c r="B954" s="158"/>
      <c r="C954" s="159"/>
      <c r="D954" s="157"/>
      <c r="E954" s="157"/>
      <c r="F954" s="157"/>
      <c r="G954" s="157"/>
      <c r="H954" s="157"/>
      <c r="I954" s="157"/>
      <c r="J954" s="157"/>
      <c r="K954" s="157"/>
      <c r="L954" s="153">
        <f t="shared" si="70"/>
        <v>0</v>
      </c>
      <c r="M954" s="154">
        <f t="shared" si="71"/>
        <v>0</v>
      </c>
      <c r="N954" s="155">
        <f>+IF(OR($Q954=Parametres!$G$2,$Q954=Parametres!$G$3),I954,C954)</f>
        <v>0</v>
      </c>
      <c r="O954" s="1122">
        <f>+IF(OR($Q954=Parametres!$G$2,$Q954=Parametres!$G$3),J954,D954)</f>
        <v>0</v>
      </c>
      <c r="P954" s="155">
        <f>+IF(OR($Q954=Parametres!$G$2,$Q954=Parametres!$G$3),K954,E954)</f>
        <v>0</v>
      </c>
      <c r="Q954" s="154">
        <f t="shared" si="72"/>
        <v>0</v>
      </c>
      <c r="R954" s="153">
        <f t="shared" si="73"/>
        <v>0</v>
      </c>
      <c r="S954" s="154">
        <f t="shared" si="74"/>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hidden="1" customHeight="1">
      <c r="A955" s="157"/>
      <c r="B955" s="158"/>
      <c r="C955" s="159"/>
      <c r="D955" s="157"/>
      <c r="E955" s="157"/>
      <c r="F955" s="157"/>
      <c r="G955" s="157"/>
      <c r="H955" s="157"/>
      <c r="I955" s="157"/>
      <c r="J955" s="157"/>
      <c r="K955" s="157"/>
      <c r="L955" s="153">
        <f t="shared" si="70"/>
        <v>0</v>
      </c>
      <c r="M955" s="154">
        <f t="shared" si="71"/>
        <v>0</v>
      </c>
      <c r="N955" s="155">
        <f>+IF(OR($Q955=Parametres!$G$2,$Q955=Parametres!$G$3),I955,C955)</f>
        <v>0</v>
      </c>
      <c r="O955" s="1122">
        <f>+IF(OR($Q955=Parametres!$G$2,$Q955=Parametres!$G$3),J955,D955)</f>
        <v>0</v>
      </c>
      <c r="P955" s="155">
        <f>+IF(OR($Q955=Parametres!$G$2,$Q955=Parametres!$G$3),K955,E955)</f>
        <v>0</v>
      </c>
      <c r="Q955" s="154">
        <f t="shared" si="72"/>
        <v>0</v>
      </c>
      <c r="R955" s="153">
        <f t="shared" si="73"/>
        <v>0</v>
      </c>
      <c r="S955" s="154">
        <f t="shared" si="74"/>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hidden="1" customHeight="1">
      <c r="A956" s="157"/>
      <c r="B956" s="158"/>
      <c r="C956" s="159"/>
      <c r="D956" s="157"/>
      <c r="E956" s="157"/>
      <c r="F956" s="157"/>
      <c r="G956" s="157"/>
      <c r="H956" s="157"/>
      <c r="I956" s="157"/>
      <c r="J956" s="157"/>
      <c r="K956" s="157"/>
      <c r="L956" s="153">
        <f t="shared" si="70"/>
        <v>0</v>
      </c>
      <c r="M956" s="154">
        <f t="shared" si="71"/>
        <v>0</v>
      </c>
      <c r="N956" s="155">
        <f>+IF(OR($Q956=Parametres!$G$2,$Q956=Parametres!$G$3),I956,C956)</f>
        <v>0</v>
      </c>
      <c r="O956" s="1122">
        <f>+IF(OR($Q956=Parametres!$G$2,$Q956=Parametres!$G$3),J956,D956)</f>
        <v>0</v>
      </c>
      <c r="P956" s="155">
        <f>+IF(OR($Q956=Parametres!$G$2,$Q956=Parametres!$G$3),K956,E956)</f>
        <v>0</v>
      </c>
      <c r="Q956" s="154">
        <f t="shared" si="72"/>
        <v>0</v>
      </c>
      <c r="R956" s="153">
        <f t="shared" si="73"/>
        <v>0</v>
      </c>
      <c r="S956" s="154">
        <f t="shared" si="74"/>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hidden="1" customHeight="1">
      <c r="A957" s="157"/>
      <c r="B957" s="158"/>
      <c r="C957" s="159"/>
      <c r="D957" s="157"/>
      <c r="E957" s="157"/>
      <c r="F957" s="157"/>
      <c r="G957" s="157"/>
      <c r="H957" s="157"/>
      <c r="I957" s="157"/>
      <c r="J957" s="157"/>
      <c r="K957" s="157"/>
      <c r="L957" s="153">
        <f t="shared" si="70"/>
        <v>0</v>
      </c>
      <c r="M957" s="154">
        <f t="shared" si="71"/>
        <v>0</v>
      </c>
      <c r="N957" s="155">
        <f>+IF(OR($Q957=Parametres!$G$2,$Q957=Parametres!$G$3),I957,C957)</f>
        <v>0</v>
      </c>
      <c r="O957" s="1122">
        <f>+IF(OR($Q957=Parametres!$G$2,$Q957=Parametres!$G$3),J957,D957)</f>
        <v>0</v>
      </c>
      <c r="P957" s="155">
        <f>+IF(OR($Q957=Parametres!$G$2,$Q957=Parametres!$G$3),K957,E957)</f>
        <v>0</v>
      </c>
      <c r="Q957" s="154">
        <f t="shared" si="72"/>
        <v>0</v>
      </c>
      <c r="R957" s="153">
        <f t="shared" si="73"/>
        <v>0</v>
      </c>
      <c r="S957" s="154">
        <f t="shared" si="74"/>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hidden="1" customHeight="1">
      <c r="A958" s="157"/>
      <c r="B958" s="158"/>
      <c r="C958" s="159"/>
      <c r="D958" s="157"/>
      <c r="E958" s="157"/>
      <c r="F958" s="157"/>
      <c r="G958" s="157"/>
      <c r="H958" s="157"/>
      <c r="I958" s="157"/>
      <c r="J958" s="157"/>
      <c r="K958" s="157"/>
      <c r="L958" s="153">
        <f t="shared" si="70"/>
        <v>0</v>
      </c>
      <c r="M958" s="154">
        <f t="shared" si="71"/>
        <v>0</v>
      </c>
      <c r="N958" s="155">
        <f>+IF(OR($Q958=Parametres!$G$2,$Q958=Parametres!$G$3),I958,C958)</f>
        <v>0</v>
      </c>
      <c r="O958" s="1122">
        <f>+IF(OR($Q958=Parametres!$G$2,$Q958=Parametres!$G$3),J958,D958)</f>
        <v>0</v>
      </c>
      <c r="P958" s="155">
        <f>+IF(OR($Q958=Parametres!$G$2,$Q958=Parametres!$G$3),K958,E958)</f>
        <v>0</v>
      </c>
      <c r="Q958" s="154">
        <f t="shared" si="72"/>
        <v>0</v>
      </c>
      <c r="R958" s="153">
        <f t="shared" si="73"/>
        <v>0</v>
      </c>
      <c r="S958" s="154">
        <f t="shared" si="74"/>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hidden="1" customHeight="1">
      <c r="A959" s="157"/>
      <c r="B959" s="158"/>
      <c r="C959" s="159"/>
      <c r="D959" s="157"/>
      <c r="E959" s="157"/>
      <c r="F959" s="157"/>
      <c r="G959" s="157"/>
      <c r="H959" s="157"/>
      <c r="I959" s="157"/>
      <c r="J959" s="157"/>
      <c r="K959" s="157"/>
      <c r="L959" s="153">
        <f t="shared" si="70"/>
        <v>0</v>
      </c>
      <c r="M959" s="154">
        <f t="shared" si="71"/>
        <v>0</v>
      </c>
      <c r="N959" s="155">
        <f>+IF(OR($Q959=Parametres!$G$2,$Q959=Parametres!$G$3),I959,C959)</f>
        <v>0</v>
      </c>
      <c r="O959" s="1122">
        <f>+IF(OR($Q959=Parametres!$G$2,$Q959=Parametres!$G$3),J959,D959)</f>
        <v>0</v>
      </c>
      <c r="P959" s="155">
        <f>+IF(OR($Q959=Parametres!$G$2,$Q959=Parametres!$G$3),K959,E959)</f>
        <v>0</v>
      </c>
      <c r="Q959" s="154">
        <f t="shared" si="72"/>
        <v>0</v>
      </c>
      <c r="R959" s="153">
        <f t="shared" si="73"/>
        <v>0</v>
      </c>
      <c r="S959" s="154">
        <f t="shared" si="74"/>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hidden="1" customHeight="1">
      <c r="A960" s="157"/>
      <c r="B960" s="158"/>
      <c r="C960" s="159"/>
      <c r="D960" s="157"/>
      <c r="E960" s="157"/>
      <c r="F960" s="157"/>
      <c r="G960" s="157"/>
      <c r="H960" s="157"/>
      <c r="I960" s="157"/>
      <c r="J960" s="157"/>
      <c r="K960" s="157"/>
      <c r="L960" s="153">
        <f t="shared" si="70"/>
        <v>0</v>
      </c>
      <c r="M960" s="154">
        <f t="shared" si="71"/>
        <v>0</v>
      </c>
      <c r="N960" s="155">
        <f>+IF(OR($Q960=Parametres!$G$2,$Q960=Parametres!$G$3),I960,C960)</f>
        <v>0</v>
      </c>
      <c r="O960" s="1122">
        <f>+IF(OR($Q960=Parametres!$G$2,$Q960=Parametres!$G$3),J960,D960)</f>
        <v>0</v>
      </c>
      <c r="P960" s="155">
        <f>+IF(OR($Q960=Parametres!$G$2,$Q960=Parametres!$G$3),K960,E960)</f>
        <v>0</v>
      </c>
      <c r="Q960" s="154">
        <f t="shared" si="72"/>
        <v>0</v>
      </c>
      <c r="R960" s="153">
        <f t="shared" si="73"/>
        <v>0</v>
      </c>
      <c r="S960" s="154">
        <f t="shared" si="74"/>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hidden="1" customHeight="1">
      <c r="A961" s="157"/>
      <c r="B961" s="158"/>
      <c r="C961" s="159"/>
      <c r="D961" s="157"/>
      <c r="E961" s="157"/>
      <c r="F961" s="157"/>
      <c r="G961" s="157"/>
      <c r="H961" s="157"/>
      <c r="I961" s="157"/>
      <c r="J961" s="157"/>
      <c r="K961" s="157"/>
      <c r="L961" s="153">
        <f t="shared" si="70"/>
        <v>0</v>
      </c>
      <c r="M961" s="154">
        <f t="shared" si="71"/>
        <v>0</v>
      </c>
      <c r="N961" s="155">
        <f>+IF(OR($Q961=Parametres!$G$2,$Q961=Parametres!$G$3),I961,C961)</f>
        <v>0</v>
      </c>
      <c r="O961" s="1122">
        <f>+IF(OR($Q961=Parametres!$G$2,$Q961=Parametres!$G$3),J961,D961)</f>
        <v>0</v>
      </c>
      <c r="P961" s="155">
        <f>+IF(OR($Q961=Parametres!$G$2,$Q961=Parametres!$G$3),K961,E961)</f>
        <v>0</v>
      </c>
      <c r="Q961" s="154">
        <f t="shared" si="72"/>
        <v>0</v>
      </c>
      <c r="R961" s="153">
        <f t="shared" si="73"/>
        <v>0</v>
      </c>
      <c r="S961" s="154">
        <f t="shared" si="74"/>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hidden="1" customHeight="1">
      <c r="A962" s="157"/>
      <c r="B962" s="158"/>
      <c r="C962" s="159"/>
      <c r="D962" s="157"/>
      <c r="E962" s="157"/>
      <c r="F962" s="157"/>
      <c r="G962" s="157"/>
      <c r="H962" s="157"/>
      <c r="I962" s="157"/>
      <c r="J962" s="157"/>
      <c r="K962" s="157"/>
      <c r="L962" s="153">
        <f t="shared" ref="L962:L1025" si="75">+B962</f>
        <v>0</v>
      </c>
      <c r="M962" s="154">
        <f t="shared" ref="M962:M1025" si="76">+A962</f>
        <v>0</v>
      </c>
      <c r="N962" s="155">
        <f>+IF(OR($Q962=Parametres!$G$2,$Q962=Parametres!$G$3),I962,C962)</f>
        <v>0</v>
      </c>
      <c r="O962" s="1122">
        <f>+IF(OR($Q962=Parametres!$G$2,$Q962=Parametres!$G$3),J962,D962)</f>
        <v>0</v>
      </c>
      <c r="P962" s="155">
        <f>+IF(OR($Q962=Parametres!$G$2,$Q962=Parametres!$G$3),K962,E962)</f>
        <v>0</v>
      </c>
      <c r="Q962" s="154">
        <f t="shared" ref="Q962:Q1025" si="77">+F962</f>
        <v>0</v>
      </c>
      <c r="R962" s="153">
        <f t="shared" ref="R962:R1025" si="78">+G962</f>
        <v>0</v>
      </c>
      <c r="S962" s="154">
        <f t="shared" ref="S962:S1025" si="79">+H962</f>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hidden="1" customHeight="1">
      <c r="A963" s="157"/>
      <c r="B963" s="158"/>
      <c r="C963" s="159"/>
      <c r="D963" s="157"/>
      <c r="E963" s="157"/>
      <c r="F963" s="157"/>
      <c r="G963" s="157"/>
      <c r="H963" s="157"/>
      <c r="I963" s="157"/>
      <c r="J963" s="157"/>
      <c r="K963" s="157"/>
      <c r="L963" s="153">
        <f t="shared" si="75"/>
        <v>0</v>
      </c>
      <c r="M963" s="154">
        <f t="shared" si="76"/>
        <v>0</v>
      </c>
      <c r="N963" s="155">
        <f>+IF(OR($Q963=Parametres!$G$2,$Q963=Parametres!$G$3),I963,C963)</f>
        <v>0</v>
      </c>
      <c r="O963" s="1122">
        <f>+IF(OR($Q963=Parametres!$G$2,$Q963=Parametres!$G$3),J963,D963)</f>
        <v>0</v>
      </c>
      <c r="P963" s="155">
        <f>+IF(OR($Q963=Parametres!$G$2,$Q963=Parametres!$G$3),K963,E963)</f>
        <v>0</v>
      </c>
      <c r="Q963" s="154">
        <f t="shared" si="77"/>
        <v>0</v>
      </c>
      <c r="R963" s="153">
        <f t="shared" si="78"/>
        <v>0</v>
      </c>
      <c r="S963" s="154">
        <f t="shared" si="79"/>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hidden="1" customHeight="1">
      <c r="A964" s="157"/>
      <c r="B964" s="158"/>
      <c r="C964" s="159"/>
      <c r="D964" s="157"/>
      <c r="E964" s="157"/>
      <c r="F964" s="157"/>
      <c r="G964" s="157"/>
      <c r="H964" s="157"/>
      <c r="I964" s="157"/>
      <c r="J964" s="157"/>
      <c r="K964" s="157"/>
      <c r="L964" s="153">
        <f t="shared" si="75"/>
        <v>0</v>
      </c>
      <c r="M964" s="154">
        <f t="shared" si="76"/>
        <v>0</v>
      </c>
      <c r="N964" s="155">
        <f>+IF(OR($Q964=Parametres!$G$2,$Q964=Parametres!$G$3),I964,C964)</f>
        <v>0</v>
      </c>
      <c r="O964" s="1122">
        <f>+IF(OR($Q964=Parametres!$G$2,$Q964=Parametres!$G$3),J964,D964)</f>
        <v>0</v>
      </c>
      <c r="P964" s="155">
        <f>+IF(OR($Q964=Parametres!$G$2,$Q964=Parametres!$G$3),K964,E964)</f>
        <v>0</v>
      </c>
      <c r="Q964" s="154">
        <f t="shared" si="77"/>
        <v>0</v>
      </c>
      <c r="R964" s="153">
        <f t="shared" si="78"/>
        <v>0</v>
      </c>
      <c r="S964" s="154">
        <f t="shared" si="79"/>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hidden="1" customHeight="1">
      <c r="A965" s="157"/>
      <c r="B965" s="158"/>
      <c r="C965" s="159"/>
      <c r="D965" s="157"/>
      <c r="E965" s="157"/>
      <c r="F965" s="157"/>
      <c r="G965" s="157"/>
      <c r="H965" s="157"/>
      <c r="I965" s="157"/>
      <c r="J965" s="157"/>
      <c r="K965" s="157"/>
      <c r="L965" s="153">
        <f t="shared" si="75"/>
        <v>0</v>
      </c>
      <c r="M965" s="154">
        <f t="shared" si="76"/>
        <v>0</v>
      </c>
      <c r="N965" s="155">
        <f>+IF(OR($Q965=Parametres!$G$2,$Q965=Parametres!$G$3),I965,C965)</f>
        <v>0</v>
      </c>
      <c r="O965" s="1122">
        <f>+IF(OR($Q965=Parametres!$G$2,$Q965=Parametres!$G$3),J965,D965)</f>
        <v>0</v>
      </c>
      <c r="P965" s="155">
        <f>+IF(OR($Q965=Parametres!$G$2,$Q965=Parametres!$G$3),K965,E965)</f>
        <v>0</v>
      </c>
      <c r="Q965" s="154">
        <f t="shared" si="77"/>
        <v>0</v>
      </c>
      <c r="R965" s="153">
        <f t="shared" si="78"/>
        <v>0</v>
      </c>
      <c r="S965" s="154">
        <f t="shared" si="79"/>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hidden="1" customHeight="1">
      <c r="A966" s="157"/>
      <c r="B966" s="158"/>
      <c r="C966" s="159"/>
      <c r="D966" s="157"/>
      <c r="E966" s="157"/>
      <c r="F966" s="157"/>
      <c r="G966" s="157"/>
      <c r="H966" s="157"/>
      <c r="I966" s="157"/>
      <c r="J966" s="157"/>
      <c r="K966" s="157"/>
      <c r="L966" s="153">
        <f t="shared" si="75"/>
        <v>0</v>
      </c>
      <c r="M966" s="154">
        <f t="shared" si="76"/>
        <v>0</v>
      </c>
      <c r="N966" s="155">
        <f>+IF(OR($Q966=Parametres!$G$2,$Q966=Parametres!$G$3),I966,C966)</f>
        <v>0</v>
      </c>
      <c r="O966" s="1122">
        <f>+IF(OR($Q966=Parametres!$G$2,$Q966=Parametres!$G$3),J966,D966)</f>
        <v>0</v>
      </c>
      <c r="P966" s="155">
        <f>+IF(OR($Q966=Parametres!$G$2,$Q966=Parametres!$G$3),K966,E966)</f>
        <v>0</v>
      </c>
      <c r="Q966" s="154">
        <f t="shared" si="77"/>
        <v>0</v>
      </c>
      <c r="R966" s="153">
        <f t="shared" si="78"/>
        <v>0</v>
      </c>
      <c r="S966" s="154">
        <f t="shared" si="79"/>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hidden="1" customHeight="1">
      <c r="A967" s="157"/>
      <c r="B967" s="158"/>
      <c r="C967" s="159"/>
      <c r="D967" s="157"/>
      <c r="E967" s="157"/>
      <c r="F967" s="157"/>
      <c r="G967" s="157"/>
      <c r="H967" s="157"/>
      <c r="I967" s="157"/>
      <c r="J967" s="157"/>
      <c r="K967" s="157"/>
      <c r="L967" s="153">
        <f t="shared" si="75"/>
        <v>0</v>
      </c>
      <c r="M967" s="154">
        <f t="shared" si="76"/>
        <v>0</v>
      </c>
      <c r="N967" s="155">
        <f>+IF(OR($Q967=Parametres!$G$2,$Q967=Parametres!$G$3),I967,C967)</f>
        <v>0</v>
      </c>
      <c r="O967" s="1122">
        <f>+IF(OR($Q967=Parametres!$G$2,$Q967=Parametres!$G$3),J967,D967)</f>
        <v>0</v>
      </c>
      <c r="P967" s="155">
        <f>+IF(OR($Q967=Parametres!$G$2,$Q967=Parametres!$G$3),K967,E967)</f>
        <v>0</v>
      </c>
      <c r="Q967" s="154">
        <f t="shared" si="77"/>
        <v>0</v>
      </c>
      <c r="R967" s="153">
        <f t="shared" si="78"/>
        <v>0</v>
      </c>
      <c r="S967" s="154">
        <f t="shared" si="79"/>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hidden="1" customHeight="1">
      <c r="A968" s="157"/>
      <c r="B968" s="158"/>
      <c r="C968" s="159"/>
      <c r="D968" s="157"/>
      <c r="E968" s="157"/>
      <c r="F968" s="157"/>
      <c r="G968" s="157"/>
      <c r="H968" s="157"/>
      <c r="I968" s="157"/>
      <c r="J968" s="157"/>
      <c r="K968" s="157"/>
      <c r="L968" s="153">
        <f t="shared" si="75"/>
        <v>0</v>
      </c>
      <c r="M968" s="154">
        <f t="shared" si="76"/>
        <v>0</v>
      </c>
      <c r="N968" s="155">
        <f>+IF(OR($Q968=Parametres!$G$2,$Q968=Parametres!$G$3),I968,C968)</f>
        <v>0</v>
      </c>
      <c r="O968" s="1122">
        <f>+IF(OR($Q968=Parametres!$G$2,$Q968=Parametres!$G$3),J968,D968)</f>
        <v>0</v>
      </c>
      <c r="P968" s="155">
        <f>+IF(OR($Q968=Parametres!$G$2,$Q968=Parametres!$G$3),K968,E968)</f>
        <v>0</v>
      </c>
      <c r="Q968" s="154">
        <f t="shared" si="77"/>
        <v>0</v>
      </c>
      <c r="R968" s="153">
        <f t="shared" si="78"/>
        <v>0</v>
      </c>
      <c r="S968" s="154">
        <f t="shared" si="79"/>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hidden="1" customHeight="1">
      <c r="A969" s="157"/>
      <c r="B969" s="158"/>
      <c r="C969" s="159"/>
      <c r="D969" s="157"/>
      <c r="E969" s="157"/>
      <c r="F969" s="157"/>
      <c r="G969" s="157"/>
      <c r="H969" s="157"/>
      <c r="I969" s="157"/>
      <c r="J969" s="157"/>
      <c r="K969" s="157"/>
      <c r="L969" s="153">
        <f t="shared" si="75"/>
        <v>0</v>
      </c>
      <c r="M969" s="154">
        <f t="shared" si="76"/>
        <v>0</v>
      </c>
      <c r="N969" s="155">
        <f>+IF(OR($Q969=Parametres!$G$2,$Q969=Parametres!$G$3),I969,C969)</f>
        <v>0</v>
      </c>
      <c r="O969" s="1122">
        <f>+IF(OR($Q969=Parametres!$G$2,$Q969=Parametres!$G$3),J969,D969)</f>
        <v>0</v>
      </c>
      <c r="P969" s="155">
        <f>+IF(OR($Q969=Parametres!$G$2,$Q969=Parametres!$G$3),K969,E969)</f>
        <v>0</v>
      </c>
      <c r="Q969" s="154">
        <f t="shared" si="77"/>
        <v>0</v>
      </c>
      <c r="R969" s="153">
        <f t="shared" si="78"/>
        <v>0</v>
      </c>
      <c r="S969" s="154">
        <f t="shared" si="79"/>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hidden="1" customHeight="1">
      <c r="A970" s="157"/>
      <c r="B970" s="158"/>
      <c r="C970" s="159"/>
      <c r="D970" s="157"/>
      <c r="E970" s="157"/>
      <c r="F970" s="157"/>
      <c r="G970" s="157"/>
      <c r="H970" s="157"/>
      <c r="I970" s="157"/>
      <c r="J970" s="157"/>
      <c r="K970" s="157"/>
      <c r="L970" s="153">
        <f t="shared" si="75"/>
        <v>0</v>
      </c>
      <c r="M970" s="154">
        <f t="shared" si="76"/>
        <v>0</v>
      </c>
      <c r="N970" s="155">
        <f>+IF(OR($Q970=Parametres!$G$2,$Q970=Parametres!$G$3),I970,C970)</f>
        <v>0</v>
      </c>
      <c r="O970" s="1122">
        <f>+IF(OR($Q970=Parametres!$G$2,$Q970=Parametres!$G$3),J970,D970)</f>
        <v>0</v>
      </c>
      <c r="P970" s="155">
        <f>+IF(OR($Q970=Parametres!$G$2,$Q970=Parametres!$G$3),K970,E970)</f>
        <v>0</v>
      </c>
      <c r="Q970" s="154">
        <f t="shared" si="77"/>
        <v>0</v>
      </c>
      <c r="R970" s="153">
        <f t="shared" si="78"/>
        <v>0</v>
      </c>
      <c r="S970" s="154">
        <f t="shared" si="79"/>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hidden="1" customHeight="1">
      <c r="A971" s="157"/>
      <c r="B971" s="158"/>
      <c r="C971" s="159"/>
      <c r="D971" s="157"/>
      <c r="E971" s="157"/>
      <c r="F971" s="157"/>
      <c r="G971" s="157"/>
      <c r="H971" s="157"/>
      <c r="I971" s="157"/>
      <c r="J971" s="157"/>
      <c r="K971" s="157"/>
      <c r="L971" s="153">
        <f t="shared" si="75"/>
        <v>0</v>
      </c>
      <c r="M971" s="154">
        <f t="shared" si="76"/>
        <v>0</v>
      </c>
      <c r="N971" s="155">
        <f>+IF(OR($Q971=Parametres!$G$2,$Q971=Parametres!$G$3),I971,C971)</f>
        <v>0</v>
      </c>
      <c r="O971" s="1122">
        <f>+IF(OR($Q971=Parametres!$G$2,$Q971=Parametres!$G$3),J971,D971)</f>
        <v>0</v>
      </c>
      <c r="P971" s="155">
        <f>+IF(OR($Q971=Parametres!$G$2,$Q971=Parametres!$G$3),K971,E971)</f>
        <v>0</v>
      </c>
      <c r="Q971" s="154">
        <f t="shared" si="77"/>
        <v>0</v>
      </c>
      <c r="R971" s="153">
        <f t="shared" si="78"/>
        <v>0</v>
      </c>
      <c r="S971" s="154">
        <f t="shared" si="79"/>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hidden="1" customHeight="1">
      <c r="A972" s="157"/>
      <c r="B972" s="158"/>
      <c r="C972" s="159"/>
      <c r="D972" s="157"/>
      <c r="E972" s="157"/>
      <c r="F972" s="157"/>
      <c r="G972" s="157"/>
      <c r="H972" s="157"/>
      <c r="I972" s="157"/>
      <c r="J972" s="157"/>
      <c r="K972" s="157"/>
      <c r="L972" s="153">
        <f t="shared" si="75"/>
        <v>0</v>
      </c>
      <c r="M972" s="154">
        <f t="shared" si="76"/>
        <v>0</v>
      </c>
      <c r="N972" s="155">
        <f>+IF(OR($Q972=Parametres!$G$2,$Q972=Parametres!$G$3),I972,C972)</f>
        <v>0</v>
      </c>
      <c r="O972" s="1122">
        <f>+IF(OR($Q972=Parametres!$G$2,$Q972=Parametres!$G$3),J972,D972)</f>
        <v>0</v>
      </c>
      <c r="P972" s="155">
        <f>+IF(OR($Q972=Parametres!$G$2,$Q972=Parametres!$G$3),K972,E972)</f>
        <v>0</v>
      </c>
      <c r="Q972" s="154">
        <f t="shared" si="77"/>
        <v>0</v>
      </c>
      <c r="R972" s="153">
        <f t="shared" si="78"/>
        <v>0</v>
      </c>
      <c r="S972" s="154">
        <f t="shared" si="79"/>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hidden="1" customHeight="1">
      <c r="A973" s="157"/>
      <c r="B973" s="158"/>
      <c r="C973" s="159"/>
      <c r="D973" s="157"/>
      <c r="E973" s="157"/>
      <c r="F973" s="157"/>
      <c r="G973" s="157"/>
      <c r="H973" s="157"/>
      <c r="I973" s="157"/>
      <c r="J973" s="157"/>
      <c r="K973" s="157"/>
      <c r="L973" s="153">
        <f t="shared" si="75"/>
        <v>0</v>
      </c>
      <c r="M973" s="154">
        <f t="shared" si="76"/>
        <v>0</v>
      </c>
      <c r="N973" s="155">
        <f>+IF(OR($Q973=Parametres!$G$2,$Q973=Parametres!$G$3),I973,C973)</f>
        <v>0</v>
      </c>
      <c r="O973" s="1122">
        <f>+IF(OR($Q973=Parametres!$G$2,$Q973=Parametres!$G$3),J973,D973)</f>
        <v>0</v>
      </c>
      <c r="P973" s="155">
        <f>+IF(OR($Q973=Parametres!$G$2,$Q973=Parametres!$G$3),K973,E973)</f>
        <v>0</v>
      </c>
      <c r="Q973" s="154">
        <f t="shared" si="77"/>
        <v>0</v>
      </c>
      <c r="R973" s="153">
        <f t="shared" si="78"/>
        <v>0</v>
      </c>
      <c r="S973" s="154">
        <f t="shared" si="79"/>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hidden="1" customHeight="1">
      <c r="A974" s="157"/>
      <c r="B974" s="158"/>
      <c r="C974" s="159"/>
      <c r="D974" s="157"/>
      <c r="E974" s="157"/>
      <c r="F974" s="157"/>
      <c r="G974" s="157"/>
      <c r="H974" s="157"/>
      <c r="I974" s="157"/>
      <c r="J974" s="157"/>
      <c r="K974" s="157"/>
      <c r="L974" s="153">
        <f t="shared" si="75"/>
        <v>0</v>
      </c>
      <c r="M974" s="154">
        <f t="shared" si="76"/>
        <v>0</v>
      </c>
      <c r="N974" s="155">
        <f>+IF(OR($Q974=Parametres!$G$2,$Q974=Parametres!$G$3),I974,C974)</f>
        <v>0</v>
      </c>
      <c r="O974" s="1122">
        <f>+IF(OR($Q974=Parametres!$G$2,$Q974=Parametres!$G$3),J974,D974)</f>
        <v>0</v>
      </c>
      <c r="P974" s="155">
        <f>+IF(OR($Q974=Parametres!$G$2,$Q974=Parametres!$G$3),K974,E974)</f>
        <v>0</v>
      </c>
      <c r="Q974" s="154">
        <f t="shared" si="77"/>
        <v>0</v>
      </c>
      <c r="R974" s="153">
        <f t="shared" si="78"/>
        <v>0</v>
      </c>
      <c r="S974" s="154">
        <f t="shared" si="79"/>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hidden="1" customHeight="1">
      <c r="A975" s="157"/>
      <c r="B975" s="158"/>
      <c r="C975" s="159"/>
      <c r="D975" s="157"/>
      <c r="E975" s="157"/>
      <c r="F975" s="157"/>
      <c r="G975" s="157"/>
      <c r="H975" s="157"/>
      <c r="I975" s="157"/>
      <c r="J975" s="157"/>
      <c r="K975" s="157"/>
      <c r="L975" s="153">
        <f t="shared" si="75"/>
        <v>0</v>
      </c>
      <c r="M975" s="154">
        <f t="shared" si="76"/>
        <v>0</v>
      </c>
      <c r="N975" s="155">
        <f>+IF(OR($Q975=Parametres!$G$2,$Q975=Parametres!$G$3),I975,C975)</f>
        <v>0</v>
      </c>
      <c r="O975" s="1122">
        <f>+IF(OR($Q975=Parametres!$G$2,$Q975=Parametres!$G$3),J975,D975)</f>
        <v>0</v>
      </c>
      <c r="P975" s="155">
        <f>+IF(OR($Q975=Parametres!$G$2,$Q975=Parametres!$G$3),K975,E975)</f>
        <v>0</v>
      </c>
      <c r="Q975" s="154">
        <f t="shared" si="77"/>
        <v>0</v>
      </c>
      <c r="R975" s="153">
        <f t="shared" si="78"/>
        <v>0</v>
      </c>
      <c r="S975" s="154">
        <f t="shared" si="79"/>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hidden="1" customHeight="1">
      <c r="A976" s="157"/>
      <c r="B976" s="158"/>
      <c r="C976" s="159"/>
      <c r="D976" s="157"/>
      <c r="E976" s="157"/>
      <c r="F976" s="157"/>
      <c r="G976" s="157"/>
      <c r="H976" s="157"/>
      <c r="I976" s="157"/>
      <c r="J976" s="157"/>
      <c r="K976" s="157"/>
      <c r="L976" s="153">
        <f t="shared" si="75"/>
        <v>0</v>
      </c>
      <c r="M976" s="154">
        <f t="shared" si="76"/>
        <v>0</v>
      </c>
      <c r="N976" s="155">
        <f>+IF(OR($Q976=Parametres!$G$2,$Q976=Parametres!$G$3),I976,C976)</f>
        <v>0</v>
      </c>
      <c r="O976" s="1122">
        <f>+IF(OR($Q976=Parametres!$G$2,$Q976=Parametres!$G$3),J976,D976)</f>
        <v>0</v>
      </c>
      <c r="P976" s="155">
        <f>+IF(OR($Q976=Parametres!$G$2,$Q976=Parametres!$G$3),K976,E976)</f>
        <v>0</v>
      </c>
      <c r="Q976" s="154">
        <f t="shared" si="77"/>
        <v>0</v>
      </c>
      <c r="R976" s="153">
        <f t="shared" si="78"/>
        <v>0</v>
      </c>
      <c r="S976" s="154">
        <f t="shared" si="79"/>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hidden="1" customHeight="1">
      <c r="A977" s="157"/>
      <c r="B977" s="158"/>
      <c r="C977" s="159"/>
      <c r="D977" s="157"/>
      <c r="E977" s="157"/>
      <c r="F977" s="157"/>
      <c r="G977" s="157"/>
      <c r="H977" s="157"/>
      <c r="I977" s="157"/>
      <c r="J977" s="157"/>
      <c r="K977" s="157"/>
      <c r="L977" s="153">
        <f t="shared" si="75"/>
        <v>0</v>
      </c>
      <c r="M977" s="154">
        <f t="shared" si="76"/>
        <v>0</v>
      </c>
      <c r="N977" s="155">
        <f>+IF(OR($Q977=Parametres!$G$2,$Q977=Parametres!$G$3),I977,C977)</f>
        <v>0</v>
      </c>
      <c r="O977" s="1122">
        <f>+IF(OR($Q977=Parametres!$G$2,$Q977=Parametres!$G$3),J977,D977)</f>
        <v>0</v>
      </c>
      <c r="P977" s="155">
        <f>+IF(OR($Q977=Parametres!$G$2,$Q977=Parametres!$G$3),K977,E977)</f>
        <v>0</v>
      </c>
      <c r="Q977" s="154">
        <f t="shared" si="77"/>
        <v>0</v>
      </c>
      <c r="R977" s="153">
        <f t="shared" si="78"/>
        <v>0</v>
      </c>
      <c r="S977" s="154">
        <f t="shared" si="79"/>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hidden="1" customHeight="1">
      <c r="A978" s="157"/>
      <c r="B978" s="158"/>
      <c r="C978" s="159"/>
      <c r="D978" s="157"/>
      <c r="E978" s="157"/>
      <c r="F978" s="157"/>
      <c r="G978" s="157"/>
      <c r="H978" s="157"/>
      <c r="I978" s="157"/>
      <c r="J978" s="157"/>
      <c r="K978" s="157"/>
      <c r="L978" s="153">
        <f t="shared" si="75"/>
        <v>0</v>
      </c>
      <c r="M978" s="154">
        <f t="shared" si="76"/>
        <v>0</v>
      </c>
      <c r="N978" s="155">
        <f>+IF(OR($Q978=Parametres!$G$2,$Q978=Parametres!$G$3),I978,C978)</f>
        <v>0</v>
      </c>
      <c r="O978" s="1122">
        <f>+IF(OR($Q978=Parametres!$G$2,$Q978=Parametres!$G$3),J978,D978)</f>
        <v>0</v>
      </c>
      <c r="P978" s="155">
        <f>+IF(OR($Q978=Parametres!$G$2,$Q978=Parametres!$G$3),K978,E978)</f>
        <v>0</v>
      </c>
      <c r="Q978" s="154">
        <f t="shared" si="77"/>
        <v>0</v>
      </c>
      <c r="R978" s="153">
        <f t="shared" si="78"/>
        <v>0</v>
      </c>
      <c r="S978" s="154">
        <f t="shared" si="79"/>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hidden="1" customHeight="1">
      <c r="A979" s="157"/>
      <c r="B979" s="158"/>
      <c r="C979" s="159"/>
      <c r="D979" s="157"/>
      <c r="E979" s="157"/>
      <c r="F979" s="157"/>
      <c r="G979" s="157"/>
      <c r="H979" s="157"/>
      <c r="I979" s="157"/>
      <c r="J979" s="157"/>
      <c r="K979" s="157"/>
      <c r="L979" s="153">
        <f t="shared" si="75"/>
        <v>0</v>
      </c>
      <c r="M979" s="154">
        <f t="shared" si="76"/>
        <v>0</v>
      </c>
      <c r="N979" s="155">
        <f>+IF(OR($Q979=Parametres!$G$2,$Q979=Parametres!$G$3),I979,C979)</f>
        <v>0</v>
      </c>
      <c r="O979" s="1122">
        <f>+IF(OR($Q979=Parametres!$G$2,$Q979=Parametres!$G$3),J979,D979)</f>
        <v>0</v>
      </c>
      <c r="P979" s="155">
        <f>+IF(OR($Q979=Parametres!$G$2,$Q979=Parametres!$G$3),K979,E979)</f>
        <v>0</v>
      </c>
      <c r="Q979" s="154">
        <f t="shared" si="77"/>
        <v>0</v>
      </c>
      <c r="R979" s="153">
        <f t="shared" si="78"/>
        <v>0</v>
      </c>
      <c r="S979" s="154">
        <f t="shared" si="79"/>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hidden="1" customHeight="1">
      <c r="A980" s="157"/>
      <c r="B980" s="158"/>
      <c r="C980" s="159"/>
      <c r="D980" s="157"/>
      <c r="E980" s="157"/>
      <c r="F980" s="157"/>
      <c r="G980" s="157"/>
      <c r="H980" s="157"/>
      <c r="I980" s="157"/>
      <c r="J980" s="157"/>
      <c r="K980" s="157"/>
      <c r="L980" s="153">
        <f t="shared" si="75"/>
        <v>0</v>
      </c>
      <c r="M980" s="154">
        <f t="shared" si="76"/>
        <v>0</v>
      </c>
      <c r="N980" s="155">
        <f>+IF(OR($Q980=Parametres!$G$2,$Q980=Parametres!$G$3),I980,C980)</f>
        <v>0</v>
      </c>
      <c r="O980" s="1122">
        <f>+IF(OR($Q980=Parametres!$G$2,$Q980=Parametres!$G$3),J980,D980)</f>
        <v>0</v>
      </c>
      <c r="P980" s="155">
        <f>+IF(OR($Q980=Parametres!$G$2,$Q980=Parametres!$G$3),K980,E980)</f>
        <v>0</v>
      </c>
      <c r="Q980" s="154">
        <f t="shared" si="77"/>
        <v>0</v>
      </c>
      <c r="R980" s="153">
        <f t="shared" si="78"/>
        <v>0</v>
      </c>
      <c r="S980" s="154">
        <f t="shared" si="79"/>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hidden="1" customHeight="1">
      <c r="A981" s="157"/>
      <c r="B981" s="158"/>
      <c r="C981" s="159"/>
      <c r="D981" s="157"/>
      <c r="E981" s="157"/>
      <c r="F981" s="157"/>
      <c r="G981" s="157"/>
      <c r="H981" s="157"/>
      <c r="I981" s="157"/>
      <c r="J981" s="157"/>
      <c r="K981" s="157"/>
      <c r="L981" s="153">
        <f t="shared" si="75"/>
        <v>0</v>
      </c>
      <c r="M981" s="154">
        <f t="shared" si="76"/>
        <v>0</v>
      </c>
      <c r="N981" s="155">
        <f>+IF(OR($Q981=Parametres!$G$2,$Q981=Parametres!$G$3),I981,C981)</f>
        <v>0</v>
      </c>
      <c r="O981" s="1122">
        <f>+IF(OR($Q981=Parametres!$G$2,$Q981=Parametres!$G$3),J981,D981)</f>
        <v>0</v>
      </c>
      <c r="P981" s="155">
        <f>+IF(OR($Q981=Parametres!$G$2,$Q981=Parametres!$G$3),K981,E981)</f>
        <v>0</v>
      </c>
      <c r="Q981" s="154">
        <f t="shared" si="77"/>
        <v>0</v>
      </c>
      <c r="R981" s="153">
        <f t="shared" si="78"/>
        <v>0</v>
      </c>
      <c r="S981" s="154">
        <f t="shared" si="79"/>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hidden="1" customHeight="1">
      <c r="A982" s="157"/>
      <c r="B982" s="158"/>
      <c r="C982" s="159"/>
      <c r="D982" s="157"/>
      <c r="E982" s="157"/>
      <c r="F982" s="157"/>
      <c r="G982" s="157"/>
      <c r="H982" s="157"/>
      <c r="I982" s="157"/>
      <c r="J982" s="157"/>
      <c r="K982" s="157"/>
      <c r="L982" s="153">
        <f t="shared" si="75"/>
        <v>0</v>
      </c>
      <c r="M982" s="154">
        <f t="shared" si="76"/>
        <v>0</v>
      </c>
      <c r="N982" s="155">
        <f>+IF(OR($Q982=Parametres!$G$2,$Q982=Parametres!$G$3),I982,C982)</f>
        <v>0</v>
      </c>
      <c r="O982" s="1122">
        <f>+IF(OR($Q982=Parametres!$G$2,$Q982=Parametres!$G$3),J982,D982)</f>
        <v>0</v>
      </c>
      <c r="P982" s="155">
        <f>+IF(OR($Q982=Parametres!$G$2,$Q982=Parametres!$G$3),K982,E982)</f>
        <v>0</v>
      </c>
      <c r="Q982" s="154">
        <f t="shared" si="77"/>
        <v>0</v>
      </c>
      <c r="R982" s="153">
        <f t="shared" si="78"/>
        <v>0</v>
      </c>
      <c r="S982" s="154">
        <f t="shared" si="79"/>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hidden="1" customHeight="1">
      <c r="A983" s="157"/>
      <c r="B983" s="158"/>
      <c r="C983" s="159"/>
      <c r="D983" s="157"/>
      <c r="E983" s="157"/>
      <c r="F983" s="157"/>
      <c r="G983" s="157"/>
      <c r="H983" s="157"/>
      <c r="I983" s="157"/>
      <c r="J983" s="157"/>
      <c r="K983" s="157"/>
      <c r="L983" s="153">
        <f t="shared" si="75"/>
        <v>0</v>
      </c>
      <c r="M983" s="154">
        <f t="shared" si="76"/>
        <v>0</v>
      </c>
      <c r="N983" s="155">
        <f>+IF(OR($Q983=Parametres!$G$2,$Q983=Parametres!$G$3),I983,C983)</f>
        <v>0</v>
      </c>
      <c r="O983" s="1122">
        <f>+IF(OR($Q983=Parametres!$G$2,$Q983=Parametres!$G$3),J983,D983)</f>
        <v>0</v>
      </c>
      <c r="P983" s="155">
        <f>+IF(OR($Q983=Parametres!$G$2,$Q983=Parametres!$G$3),K983,E983)</f>
        <v>0</v>
      </c>
      <c r="Q983" s="154">
        <f t="shared" si="77"/>
        <v>0</v>
      </c>
      <c r="R983" s="153">
        <f t="shared" si="78"/>
        <v>0</v>
      </c>
      <c r="S983" s="154">
        <f t="shared" si="79"/>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hidden="1" customHeight="1">
      <c r="A984" s="157"/>
      <c r="B984" s="158"/>
      <c r="C984" s="159"/>
      <c r="D984" s="157"/>
      <c r="E984" s="157"/>
      <c r="F984" s="157"/>
      <c r="G984" s="157"/>
      <c r="H984" s="157"/>
      <c r="I984" s="157"/>
      <c r="J984" s="157"/>
      <c r="K984" s="157"/>
      <c r="L984" s="153">
        <f t="shared" si="75"/>
        <v>0</v>
      </c>
      <c r="M984" s="154">
        <f t="shared" si="76"/>
        <v>0</v>
      </c>
      <c r="N984" s="155">
        <f>+IF(OR($Q984=Parametres!$G$2,$Q984=Parametres!$G$3),I984,C984)</f>
        <v>0</v>
      </c>
      <c r="O984" s="1122">
        <f>+IF(OR($Q984=Parametres!$G$2,$Q984=Parametres!$G$3),J984,D984)</f>
        <v>0</v>
      </c>
      <c r="P984" s="155">
        <f>+IF(OR($Q984=Parametres!$G$2,$Q984=Parametres!$G$3),K984,E984)</f>
        <v>0</v>
      </c>
      <c r="Q984" s="154">
        <f t="shared" si="77"/>
        <v>0</v>
      </c>
      <c r="R984" s="153">
        <f t="shared" si="78"/>
        <v>0</v>
      </c>
      <c r="S984" s="154">
        <f t="shared" si="79"/>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hidden="1" customHeight="1">
      <c r="A985" s="157"/>
      <c r="B985" s="158"/>
      <c r="C985" s="159"/>
      <c r="D985" s="157"/>
      <c r="E985" s="157"/>
      <c r="F985" s="157"/>
      <c r="G985" s="157"/>
      <c r="H985" s="157"/>
      <c r="I985" s="157"/>
      <c r="J985" s="157"/>
      <c r="K985" s="157"/>
      <c r="L985" s="153">
        <f t="shared" si="75"/>
        <v>0</v>
      </c>
      <c r="M985" s="154">
        <f t="shared" si="76"/>
        <v>0</v>
      </c>
      <c r="N985" s="155">
        <f>+IF(OR($Q985=Parametres!$G$2,$Q985=Parametres!$G$3),I985,C985)</f>
        <v>0</v>
      </c>
      <c r="O985" s="1122">
        <f>+IF(OR($Q985=Parametres!$G$2,$Q985=Parametres!$G$3),J985,D985)</f>
        <v>0</v>
      </c>
      <c r="P985" s="155">
        <f>+IF(OR($Q985=Parametres!$G$2,$Q985=Parametres!$G$3),K985,E985)</f>
        <v>0</v>
      </c>
      <c r="Q985" s="154">
        <f t="shared" si="77"/>
        <v>0</v>
      </c>
      <c r="R985" s="153">
        <f t="shared" si="78"/>
        <v>0</v>
      </c>
      <c r="S985" s="154">
        <f t="shared" si="79"/>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hidden="1" customHeight="1">
      <c r="A986" s="157"/>
      <c r="B986" s="158"/>
      <c r="C986" s="159"/>
      <c r="D986" s="157"/>
      <c r="E986" s="157"/>
      <c r="F986" s="157"/>
      <c r="G986" s="157"/>
      <c r="H986" s="157"/>
      <c r="I986" s="157"/>
      <c r="J986" s="157"/>
      <c r="K986" s="157"/>
      <c r="L986" s="153">
        <f t="shared" si="75"/>
        <v>0</v>
      </c>
      <c r="M986" s="154">
        <f t="shared" si="76"/>
        <v>0</v>
      </c>
      <c r="N986" s="155">
        <f>+IF(OR($Q986=Parametres!$G$2,$Q986=Parametres!$G$3),I986,C986)</f>
        <v>0</v>
      </c>
      <c r="O986" s="1122">
        <f>+IF(OR($Q986=Parametres!$G$2,$Q986=Parametres!$G$3),J986,D986)</f>
        <v>0</v>
      </c>
      <c r="P986" s="155">
        <f>+IF(OR($Q986=Parametres!$G$2,$Q986=Parametres!$G$3),K986,E986)</f>
        <v>0</v>
      </c>
      <c r="Q986" s="154">
        <f t="shared" si="77"/>
        <v>0</v>
      </c>
      <c r="R986" s="153">
        <f t="shared" si="78"/>
        <v>0</v>
      </c>
      <c r="S986" s="154">
        <f t="shared" si="79"/>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hidden="1" customHeight="1">
      <c r="A987" s="157"/>
      <c r="B987" s="158"/>
      <c r="C987" s="159"/>
      <c r="D987" s="157"/>
      <c r="E987" s="157"/>
      <c r="F987" s="157"/>
      <c r="G987" s="157"/>
      <c r="H987" s="157"/>
      <c r="I987" s="157"/>
      <c r="J987" s="157"/>
      <c r="K987" s="157"/>
      <c r="L987" s="153">
        <f t="shared" si="75"/>
        <v>0</v>
      </c>
      <c r="M987" s="154">
        <f t="shared" si="76"/>
        <v>0</v>
      </c>
      <c r="N987" s="155">
        <f>+IF(OR($Q987=Parametres!$G$2,$Q987=Parametres!$G$3),I987,C987)</f>
        <v>0</v>
      </c>
      <c r="O987" s="1122">
        <f>+IF(OR($Q987=Parametres!$G$2,$Q987=Parametres!$G$3),J987,D987)</f>
        <v>0</v>
      </c>
      <c r="P987" s="155">
        <f>+IF(OR($Q987=Parametres!$G$2,$Q987=Parametres!$G$3),K987,E987)</f>
        <v>0</v>
      </c>
      <c r="Q987" s="154">
        <f t="shared" si="77"/>
        <v>0</v>
      </c>
      <c r="R987" s="153">
        <f t="shared" si="78"/>
        <v>0</v>
      </c>
      <c r="S987" s="154">
        <f t="shared" si="79"/>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hidden="1" customHeight="1">
      <c r="A988" s="157"/>
      <c r="B988" s="158"/>
      <c r="C988" s="159"/>
      <c r="D988" s="157"/>
      <c r="E988" s="157"/>
      <c r="F988" s="157"/>
      <c r="G988" s="157"/>
      <c r="H988" s="157"/>
      <c r="I988" s="157"/>
      <c r="J988" s="157"/>
      <c r="K988" s="157"/>
      <c r="L988" s="153">
        <f t="shared" si="75"/>
        <v>0</v>
      </c>
      <c r="M988" s="154">
        <f t="shared" si="76"/>
        <v>0</v>
      </c>
      <c r="N988" s="155">
        <f>+IF(OR($Q988=Parametres!$G$2,$Q988=Parametres!$G$3),I988,C988)</f>
        <v>0</v>
      </c>
      <c r="O988" s="1122">
        <f>+IF(OR($Q988=Parametres!$G$2,$Q988=Parametres!$G$3),J988,D988)</f>
        <v>0</v>
      </c>
      <c r="P988" s="155">
        <f>+IF(OR($Q988=Parametres!$G$2,$Q988=Parametres!$G$3),K988,E988)</f>
        <v>0</v>
      </c>
      <c r="Q988" s="154">
        <f t="shared" si="77"/>
        <v>0</v>
      </c>
      <c r="R988" s="153">
        <f t="shared" si="78"/>
        <v>0</v>
      </c>
      <c r="S988" s="154">
        <f t="shared" si="79"/>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hidden="1" customHeight="1">
      <c r="A989" s="157"/>
      <c r="B989" s="158"/>
      <c r="C989" s="159"/>
      <c r="D989" s="157"/>
      <c r="E989" s="157"/>
      <c r="F989" s="157"/>
      <c r="G989" s="157"/>
      <c r="H989" s="157"/>
      <c r="I989" s="157"/>
      <c r="J989" s="157"/>
      <c r="K989" s="157"/>
      <c r="L989" s="153">
        <f t="shared" si="75"/>
        <v>0</v>
      </c>
      <c r="M989" s="154">
        <f t="shared" si="76"/>
        <v>0</v>
      </c>
      <c r="N989" s="155">
        <f>+IF(OR($Q989=Parametres!$G$2,$Q989=Parametres!$G$3),I989,C989)</f>
        <v>0</v>
      </c>
      <c r="O989" s="1122">
        <f>+IF(OR($Q989=Parametres!$G$2,$Q989=Parametres!$G$3),J989,D989)</f>
        <v>0</v>
      </c>
      <c r="P989" s="155">
        <f>+IF(OR($Q989=Parametres!$G$2,$Q989=Parametres!$G$3),K989,E989)</f>
        <v>0</v>
      </c>
      <c r="Q989" s="154">
        <f t="shared" si="77"/>
        <v>0</v>
      </c>
      <c r="R989" s="153">
        <f t="shared" si="78"/>
        <v>0</v>
      </c>
      <c r="S989" s="154">
        <f t="shared" si="79"/>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hidden="1" customHeight="1">
      <c r="A990" s="157"/>
      <c r="B990" s="158"/>
      <c r="C990" s="159"/>
      <c r="D990" s="157"/>
      <c r="E990" s="157"/>
      <c r="F990" s="157"/>
      <c r="G990" s="157"/>
      <c r="H990" s="157"/>
      <c r="I990" s="157"/>
      <c r="J990" s="157"/>
      <c r="K990" s="157"/>
      <c r="L990" s="153">
        <f t="shared" si="75"/>
        <v>0</v>
      </c>
      <c r="M990" s="154">
        <f t="shared" si="76"/>
        <v>0</v>
      </c>
      <c r="N990" s="155">
        <f>+IF(OR($Q990=Parametres!$G$2,$Q990=Parametres!$G$3),I990,C990)</f>
        <v>0</v>
      </c>
      <c r="O990" s="1122">
        <f>+IF(OR($Q990=Parametres!$G$2,$Q990=Parametres!$G$3),J990,D990)</f>
        <v>0</v>
      </c>
      <c r="P990" s="155">
        <f>+IF(OR($Q990=Parametres!$G$2,$Q990=Parametres!$G$3),K990,E990)</f>
        <v>0</v>
      </c>
      <c r="Q990" s="154">
        <f t="shared" si="77"/>
        <v>0</v>
      </c>
      <c r="R990" s="153">
        <f t="shared" si="78"/>
        <v>0</v>
      </c>
      <c r="S990" s="154">
        <f t="shared" si="79"/>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hidden="1" customHeight="1">
      <c r="A991" s="157"/>
      <c r="B991" s="158"/>
      <c r="C991" s="159"/>
      <c r="D991" s="157"/>
      <c r="E991" s="157"/>
      <c r="F991" s="157"/>
      <c r="G991" s="157"/>
      <c r="H991" s="157"/>
      <c r="I991" s="157"/>
      <c r="J991" s="157"/>
      <c r="K991" s="157"/>
      <c r="L991" s="153">
        <f t="shared" si="75"/>
        <v>0</v>
      </c>
      <c r="M991" s="154">
        <f t="shared" si="76"/>
        <v>0</v>
      </c>
      <c r="N991" s="155">
        <f>+IF(OR($Q991=Parametres!$G$2,$Q991=Parametres!$G$3),I991,C991)</f>
        <v>0</v>
      </c>
      <c r="O991" s="1122">
        <f>+IF(OR($Q991=Parametres!$G$2,$Q991=Parametres!$G$3),J991,D991)</f>
        <v>0</v>
      </c>
      <c r="P991" s="155">
        <f>+IF(OR($Q991=Parametres!$G$2,$Q991=Parametres!$G$3),K991,E991)</f>
        <v>0</v>
      </c>
      <c r="Q991" s="154">
        <f t="shared" si="77"/>
        <v>0</v>
      </c>
      <c r="R991" s="153">
        <f t="shared" si="78"/>
        <v>0</v>
      </c>
      <c r="S991" s="154">
        <f t="shared" si="79"/>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hidden="1" customHeight="1">
      <c r="A992" s="157"/>
      <c r="B992" s="158"/>
      <c r="C992" s="159"/>
      <c r="D992" s="157"/>
      <c r="E992" s="157"/>
      <c r="F992" s="157"/>
      <c r="G992" s="157"/>
      <c r="H992" s="157"/>
      <c r="I992" s="157"/>
      <c r="J992" s="157"/>
      <c r="K992" s="157"/>
      <c r="L992" s="153">
        <f t="shared" si="75"/>
        <v>0</v>
      </c>
      <c r="M992" s="154">
        <f t="shared" si="76"/>
        <v>0</v>
      </c>
      <c r="N992" s="155">
        <f>+IF(OR($Q992=Parametres!$G$2,$Q992=Parametres!$G$3),I992,C992)</f>
        <v>0</v>
      </c>
      <c r="O992" s="1122">
        <f>+IF(OR($Q992=Parametres!$G$2,$Q992=Parametres!$G$3),J992,D992)</f>
        <v>0</v>
      </c>
      <c r="P992" s="155">
        <f>+IF(OR($Q992=Parametres!$G$2,$Q992=Parametres!$G$3),K992,E992)</f>
        <v>0</v>
      </c>
      <c r="Q992" s="154">
        <f t="shared" si="77"/>
        <v>0</v>
      </c>
      <c r="R992" s="153">
        <f t="shared" si="78"/>
        <v>0</v>
      </c>
      <c r="S992" s="154">
        <f t="shared" si="79"/>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hidden="1" customHeight="1">
      <c r="A993" s="157"/>
      <c r="B993" s="158"/>
      <c r="C993" s="159"/>
      <c r="D993" s="157"/>
      <c r="E993" s="157"/>
      <c r="F993" s="157"/>
      <c r="G993" s="157"/>
      <c r="H993" s="157"/>
      <c r="I993" s="157"/>
      <c r="J993" s="157"/>
      <c r="K993" s="157"/>
      <c r="L993" s="153">
        <f t="shared" si="75"/>
        <v>0</v>
      </c>
      <c r="M993" s="154">
        <f t="shared" si="76"/>
        <v>0</v>
      </c>
      <c r="N993" s="155">
        <f>+IF(OR($Q993=Parametres!$G$2,$Q993=Parametres!$G$3),I993,C993)</f>
        <v>0</v>
      </c>
      <c r="O993" s="1122">
        <f>+IF(OR($Q993=Parametres!$G$2,$Q993=Parametres!$G$3),J993,D993)</f>
        <v>0</v>
      </c>
      <c r="P993" s="155">
        <f>+IF(OR($Q993=Parametres!$G$2,$Q993=Parametres!$G$3),K993,E993)</f>
        <v>0</v>
      </c>
      <c r="Q993" s="154">
        <f t="shared" si="77"/>
        <v>0</v>
      </c>
      <c r="R993" s="153">
        <f t="shared" si="78"/>
        <v>0</v>
      </c>
      <c r="S993" s="154">
        <f t="shared" si="79"/>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hidden="1" customHeight="1">
      <c r="A994" s="157"/>
      <c r="B994" s="158"/>
      <c r="C994" s="159"/>
      <c r="D994" s="157"/>
      <c r="E994" s="157"/>
      <c r="F994" s="157"/>
      <c r="G994" s="157"/>
      <c r="H994" s="157"/>
      <c r="I994" s="157"/>
      <c r="J994" s="157"/>
      <c r="K994" s="157"/>
      <c r="L994" s="153">
        <f t="shared" si="75"/>
        <v>0</v>
      </c>
      <c r="M994" s="154">
        <f t="shared" si="76"/>
        <v>0</v>
      </c>
      <c r="N994" s="155">
        <f>+IF(OR($Q994=Parametres!$G$2,$Q994=Parametres!$G$3),I994,C994)</f>
        <v>0</v>
      </c>
      <c r="O994" s="1122">
        <f>+IF(OR($Q994=Parametres!$G$2,$Q994=Parametres!$G$3),J994,D994)</f>
        <v>0</v>
      </c>
      <c r="P994" s="155">
        <f>+IF(OR($Q994=Parametres!$G$2,$Q994=Parametres!$G$3),K994,E994)</f>
        <v>0</v>
      </c>
      <c r="Q994" s="154">
        <f t="shared" si="77"/>
        <v>0</v>
      </c>
      <c r="R994" s="153">
        <f t="shared" si="78"/>
        <v>0</v>
      </c>
      <c r="S994" s="154">
        <f t="shared" si="79"/>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hidden="1" customHeight="1">
      <c r="A995" s="157"/>
      <c r="B995" s="158"/>
      <c r="C995" s="159"/>
      <c r="D995" s="157"/>
      <c r="E995" s="157"/>
      <c r="F995" s="157"/>
      <c r="G995" s="157"/>
      <c r="H995" s="157"/>
      <c r="I995" s="157"/>
      <c r="J995" s="157"/>
      <c r="K995" s="157"/>
      <c r="L995" s="153">
        <f t="shared" si="75"/>
        <v>0</v>
      </c>
      <c r="M995" s="154">
        <f t="shared" si="76"/>
        <v>0</v>
      </c>
      <c r="N995" s="155">
        <f>+IF(OR($Q995=Parametres!$G$2,$Q995=Parametres!$G$3),I995,C995)</f>
        <v>0</v>
      </c>
      <c r="O995" s="1122">
        <f>+IF(OR($Q995=Parametres!$G$2,$Q995=Parametres!$G$3),J995,D995)</f>
        <v>0</v>
      </c>
      <c r="P995" s="155">
        <f>+IF(OR($Q995=Parametres!$G$2,$Q995=Parametres!$G$3),K995,E995)</f>
        <v>0</v>
      </c>
      <c r="Q995" s="154">
        <f t="shared" si="77"/>
        <v>0</v>
      </c>
      <c r="R995" s="153">
        <f t="shared" si="78"/>
        <v>0</v>
      </c>
      <c r="S995" s="154">
        <f t="shared" si="79"/>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hidden="1" customHeight="1">
      <c r="A996" s="157"/>
      <c r="B996" s="158"/>
      <c r="C996" s="159"/>
      <c r="D996" s="157"/>
      <c r="E996" s="157"/>
      <c r="F996" s="157"/>
      <c r="G996" s="157"/>
      <c r="H996" s="157"/>
      <c r="I996" s="157"/>
      <c r="J996" s="157"/>
      <c r="K996" s="157"/>
      <c r="L996" s="153">
        <f t="shared" si="75"/>
        <v>0</v>
      </c>
      <c r="M996" s="154">
        <f t="shared" si="76"/>
        <v>0</v>
      </c>
      <c r="N996" s="155">
        <f>+IF(OR($Q996=Parametres!$G$2,$Q996=Parametres!$G$3),I996,C996)</f>
        <v>0</v>
      </c>
      <c r="O996" s="1122">
        <f>+IF(OR($Q996=Parametres!$G$2,$Q996=Parametres!$G$3),J996,D996)</f>
        <v>0</v>
      </c>
      <c r="P996" s="155">
        <f>+IF(OR($Q996=Parametres!$G$2,$Q996=Parametres!$G$3),K996,E996)</f>
        <v>0</v>
      </c>
      <c r="Q996" s="154">
        <f t="shared" si="77"/>
        <v>0</v>
      </c>
      <c r="R996" s="153">
        <f t="shared" si="78"/>
        <v>0</v>
      </c>
      <c r="S996" s="154">
        <f t="shared" si="79"/>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hidden="1" customHeight="1">
      <c r="A997" s="157"/>
      <c r="B997" s="158"/>
      <c r="C997" s="159"/>
      <c r="D997" s="157"/>
      <c r="E997" s="157"/>
      <c r="F997" s="157"/>
      <c r="G997" s="157"/>
      <c r="H997" s="157"/>
      <c r="I997" s="157"/>
      <c r="J997" s="157"/>
      <c r="K997" s="157"/>
      <c r="L997" s="153">
        <f t="shared" si="75"/>
        <v>0</v>
      </c>
      <c r="M997" s="154">
        <f t="shared" si="76"/>
        <v>0</v>
      </c>
      <c r="N997" s="155">
        <f>+IF(OR($Q997=Parametres!$G$2,$Q997=Parametres!$G$3),I997,C997)</f>
        <v>0</v>
      </c>
      <c r="O997" s="1122">
        <f>+IF(OR($Q997=Parametres!$G$2,$Q997=Parametres!$G$3),J997,D997)</f>
        <v>0</v>
      </c>
      <c r="P997" s="155">
        <f>+IF(OR($Q997=Parametres!$G$2,$Q997=Parametres!$G$3),K997,E997)</f>
        <v>0</v>
      </c>
      <c r="Q997" s="154">
        <f t="shared" si="77"/>
        <v>0</v>
      </c>
      <c r="R997" s="153">
        <f t="shared" si="78"/>
        <v>0</v>
      </c>
      <c r="S997" s="154">
        <f t="shared" si="79"/>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hidden="1" customHeight="1">
      <c r="A998" s="157"/>
      <c r="B998" s="158"/>
      <c r="C998" s="159"/>
      <c r="D998" s="157"/>
      <c r="E998" s="157"/>
      <c r="F998" s="157"/>
      <c r="G998" s="157"/>
      <c r="H998" s="157"/>
      <c r="I998" s="157"/>
      <c r="J998" s="157"/>
      <c r="K998" s="157"/>
      <c r="L998" s="153">
        <f t="shared" si="75"/>
        <v>0</v>
      </c>
      <c r="M998" s="154">
        <f t="shared" si="76"/>
        <v>0</v>
      </c>
      <c r="N998" s="155">
        <f>+IF(OR($Q998=Parametres!$G$2,$Q998=Parametres!$G$3),I998,C998)</f>
        <v>0</v>
      </c>
      <c r="O998" s="1122">
        <f>+IF(OR($Q998=Parametres!$G$2,$Q998=Parametres!$G$3),J998,D998)</f>
        <v>0</v>
      </c>
      <c r="P998" s="155">
        <f>+IF(OR($Q998=Parametres!$G$2,$Q998=Parametres!$G$3),K998,E998)</f>
        <v>0</v>
      </c>
      <c r="Q998" s="154">
        <f t="shared" si="77"/>
        <v>0</v>
      </c>
      <c r="R998" s="153">
        <f t="shared" si="78"/>
        <v>0</v>
      </c>
      <c r="S998" s="154">
        <f t="shared" si="79"/>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hidden="1" customHeight="1">
      <c r="A999" s="157"/>
      <c r="B999" s="158"/>
      <c r="C999" s="159"/>
      <c r="D999" s="157"/>
      <c r="E999" s="157"/>
      <c r="F999" s="157"/>
      <c r="G999" s="157"/>
      <c r="H999" s="157"/>
      <c r="I999" s="157"/>
      <c r="J999" s="157"/>
      <c r="K999" s="157"/>
      <c r="L999" s="153">
        <f t="shared" si="75"/>
        <v>0</v>
      </c>
      <c r="M999" s="154">
        <f t="shared" si="76"/>
        <v>0</v>
      </c>
      <c r="N999" s="155">
        <f>+IF(OR($Q999=Parametres!$G$2,$Q999=Parametres!$G$3),I999,C999)</f>
        <v>0</v>
      </c>
      <c r="O999" s="1122">
        <f>+IF(OR($Q999=Parametres!$G$2,$Q999=Parametres!$G$3),J999,D999)</f>
        <v>0</v>
      </c>
      <c r="P999" s="155">
        <f>+IF(OR($Q999=Parametres!$G$2,$Q999=Parametres!$G$3),K999,E999)</f>
        <v>0</v>
      </c>
      <c r="Q999" s="154">
        <f t="shared" si="77"/>
        <v>0</v>
      </c>
      <c r="R999" s="153">
        <f t="shared" si="78"/>
        <v>0</v>
      </c>
      <c r="S999" s="154">
        <f t="shared" si="79"/>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hidden="1" customHeight="1">
      <c r="A1000" s="157"/>
      <c r="B1000" s="158"/>
      <c r="C1000" s="159"/>
      <c r="D1000" s="157"/>
      <c r="E1000" s="157"/>
      <c r="F1000" s="157"/>
      <c r="G1000" s="157"/>
      <c r="H1000" s="157"/>
      <c r="I1000" s="157"/>
      <c r="J1000" s="157"/>
      <c r="K1000" s="157"/>
      <c r="L1000" s="153">
        <f t="shared" si="75"/>
        <v>0</v>
      </c>
      <c r="M1000" s="154">
        <f t="shared" si="76"/>
        <v>0</v>
      </c>
      <c r="N1000" s="155">
        <f>+IF(OR($Q1000=Parametres!$G$2,$Q1000=Parametres!$G$3),I1000,C1000)</f>
        <v>0</v>
      </c>
      <c r="O1000" s="1122">
        <f>+IF(OR($Q1000=Parametres!$G$2,$Q1000=Parametres!$G$3),J1000,D1000)</f>
        <v>0</v>
      </c>
      <c r="P1000" s="155">
        <f>+IF(OR($Q1000=Parametres!$G$2,$Q1000=Parametres!$G$3),K1000,E1000)</f>
        <v>0</v>
      </c>
      <c r="Q1000" s="154">
        <f t="shared" si="77"/>
        <v>0</v>
      </c>
      <c r="R1000" s="153">
        <f t="shared" si="78"/>
        <v>0</v>
      </c>
      <c r="S1000" s="154">
        <f t="shared" si="79"/>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hidden="1" customHeight="1">
      <c r="A1001" s="157"/>
      <c r="B1001" s="158"/>
      <c r="C1001" s="159"/>
      <c r="D1001" s="157"/>
      <c r="E1001" s="157"/>
      <c r="F1001" s="157"/>
      <c r="G1001" s="157"/>
      <c r="H1001" s="157"/>
      <c r="I1001" s="157"/>
      <c r="J1001" s="157"/>
      <c r="K1001" s="157"/>
      <c r="L1001" s="153">
        <f t="shared" si="75"/>
        <v>0</v>
      </c>
      <c r="M1001" s="154">
        <f t="shared" si="76"/>
        <v>0</v>
      </c>
      <c r="N1001" s="155">
        <f>+IF(OR($Q1001=Parametres!$G$2,$Q1001=Parametres!$G$3),I1001,C1001)</f>
        <v>0</v>
      </c>
      <c r="O1001" s="1122">
        <f>+IF(OR($Q1001=Parametres!$G$2,$Q1001=Parametres!$G$3),J1001,D1001)</f>
        <v>0</v>
      </c>
      <c r="P1001" s="155">
        <f>+IF(OR($Q1001=Parametres!$G$2,$Q1001=Parametres!$G$3),K1001,E1001)</f>
        <v>0</v>
      </c>
      <c r="Q1001" s="154">
        <f t="shared" si="77"/>
        <v>0</v>
      </c>
      <c r="R1001" s="153">
        <f t="shared" si="78"/>
        <v>0</v>
      </c>
      <c r="S1001" s="154">
        <f t="shared" si="79"/>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hidden="1" customHeight="1">
      <c r="A1002" s="157"/>
      <c r="B1002" s="158"/>
      <c r="C1002" s="159"/>
      <c r="D1002" s="157"/>
      <c r="E1002" s="157"/>
      <c r="F1002" s="157"/>
      <c r="G1002" s="157"/>
      <c r="H1002" s="157"/>
      <c r="I1002" s="157"/>
      <c r="J1002" s="157"/>
      <c r="K1002" s="157"/>
      <c r="L1002" s="153">
        <f t="shared" si="75"/>
        <v>0</v>
      </c>
      <c r="M1002" s="154">
        <f t="shared" si="76"/>
        <v>0</v>
      </c>
      <c r="N1002" s="155">
        <f>+IF(OR($Q1002=Parametres!$G$2,$Q1002=Parametres!$G$3),I1002,C1002)</f>
        <v>0</v>
      </c>
      <c r="O1002" s="1122">
        <f>+IF(OR($Q1002=Parametres!$G$2,$Q1002=Parametres!$G$3),J1002,D1002)</f>
        <v>0</v>
      </c>
      <c r="P1002" s="155">
        <f>+IF(OR($Q1002=Parametres!$G$2,$Q1002=Parametres!$G$3),K1002,E1002)</f>
        <v>0</v>
      </c>
      <c r="Q1002" s="154">
        <f t="shared" si="77"/>
        <v>0</v>
      </c>
      <c r="R1002" s="153">
        <f t="shared" si="78"/>
        <v>0</v>
      </c>
      <c r="S1002" s="154">
        <f t="shared" si="79"/>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hidden="1" customHeight="1">
      <c r="A1003" s="157"/>
      <c r="B1003" s="158"/>
      <c r="C1003" s="159"/>
      <c r="D1003" s="157"/>
      <c r="E1003" s="157"/>
      <c r="F1003" s="157"/>
      <c r="G1003" s="157"/>
      <c r="H1003" s="157"/>
      <c r="I1003" s="157"/>
      <c r="J1003" s="157"/>
      <c r="K1003" s="157"/>
      <c r="L1003" s="153">
        <f t="shared" si="75"/>
        <v>0</v>
      </c>
      <c r="M1003" s="154">
        <f t="shared" si="76"/>
        <v>0</v>
      </c>
      <c r="N1003" s="155">
        <f>+IF(OR($Q1003=Parametres!$G$2,$Q1003=Parametres!$G$3),I1003,C1003)</f>
        <v>0</v>
      </c>
      <c r="O1003" s="1122">
        <f>+IF(OR($Q1003=Parametres!$G$2,$Q1003=Parametres!$G$3),J1003,D1003)</f>
        <v>0</v>
      </c>
      <c r="P1003" s="155">
        <f>+IF(OR($Q1003=Parametres!$G$2,$Q1003=Parametres!$G$3),K1003,E1003)</f>
        <v>0</v>
      </c>
      <c r="Q1003" s="154">
        <f t="shared" si="77"/>
        <v>0</v>
      </c>
      <c r="R1003" s="153">
        <f t="shared" si="78"/>
        <v>0</v>
      </c>
      <c r="S1003" s="154">
        <f t="shared" si="79"/>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hidden="1" customHeight="1">
      <c r="A1004" s="157"/>
      <c r="B1004" s="158"/>
      <c r="C1004" s="159"/>
      <c r="D1004" s="157"/>
      <c r="E1004" s="157"/>
      <c r="F1004" s="157"/>
      <c r="G1004" s="157"/>
      <c r="H1004" s="157"/>
      <c r="I1004" s="157"/>
      <c r="J1004" s="157"/>
      <c r="K1004" s="157"/>
      <c r="L1004" s="153">
        <f t="shared" si="75"/>
        <v>0</v>
      </c>
      <c r="M1004" s="154">
        <f t="shared" si="76"/>
        <v>0</v>
      </c>
      <c r="N1004" s="155">
        <f>+IF(OR($Q1004=Parametres!$G$2,$Q1004=Parametres!$G$3),I1004,C1004)</f>
        <v>0</v>
      </c>
      <c r="O1004" s="1122">
        <f>+IF(OR($Q1004=Parametres!$G$2,$Q1004=Parametres!$G$3),J1004,D1004)</f>
        <v>0</v>
      </c>
      <c r="P1004" s="155">
        <f>+IF(OR($Q1004=Parametres!$G$2,$Q1004=Parametres!$G$3),K1004,E1004)</f>
        <v>0</v>
      </c>
      <c r="Q1004" s="154">
        <f t="shared" si="77"/>
        <v>0</v>
      </c>
      <c r="R1004" s="153">
        <f t="shared" si="78"/>
        <v>0</v>
      </c>
      <c r="S1004" s="154">
        <f t="shared" si="79"/>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hidden="1" customHeight="1">
      <c r="A1005" s="157"/>
      <c r="B1005" s="158"/>
      <c r="C1005" s="159"/>
      <c r="D1005" s="157"/>
      <c r="E1005" s="157"/>
      <c r="F1005" s="157"/>
      <c r="G1005" s="157"/>
      <c r="H1005" s="157"/>
      <c r="I1005" s="157"/>
      <c r="J1005" s="157"/>
      <c r="K1005" s="157"/>
      <c r="L1005" s="153">
        <f t="shared" si="75"/>
        <v>0</v>
      </c>
      <c r="M1005" s="154">
        <f t="shared" si="76"/>
        <v>0</v>
      </c>
      <c r="N1005" s="155">
        <f>+IF(OR($Q1005=Parametres!$G$2,$Q1005=Parametres!$G$3),I1005,C1005)</f>
        <v>0</v>
      </c>
      <c r="O1005" s="1122">
        <f>+IF(OR($Q1005=Parametres!$G$2,$Q1005=Parametres!$G$3),J1005,D1005)</f>
        <v>0</v>
      </c>
      <c r="P1005" s="155">
        <f>+IF(OR($Q1005=Parametres!$G$2,$Q1005=Parametres!$G$3),K1005,E1005)</f>
        <v>0</v>
      </c>
      <c r="Q1005" s="154">
        <f t="shared" si="77"/>
        <v>0</v>
      </c>
      <c r="R1005" s="153">
        <f t="shared" si="78"/>
        <v>0</v>
      </c>
      <c r="S1005" s="154">
        <f t="shared" si="79"/>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hidden="1" customHeight="1">
      <c r="A1006" s="157"/>
      <c r="B1006" s="158"/>
      <c r="C1006" s="159"/>
      <c r="D1006" s="157"/>
      <c r="E1006" s="157"/>
      <c r="F1006" s="157"/>
      <c r="G1006" s="157"/>
      <c r="H1006" s="157"/>
      <c r="I1006" s="157"/>
      <c r="J1006" s="157"/>
      <c r="K1006" s="157"/>
      <c r="L1006" s="153">
        <f t="shared" si="75"/>
        <v>0</v>
      </c>
      <c r="M1006" s="154">
        <f t="shared" si="76"/>
        <v>0</v>
      </c>
      <c r="N1006" s="155">
        <f>+IF(OR($Q1006=Parametres!$G$2,$Q1006=Parametres!$G$3),I1006,C1006)</f>
        <v>0</v>
      </c>
      <c r="O1006" s="1122">
        <f>+IF(OR($Q1006=Parametres!$G$2,$Q1006=Parametres!$G$3),J1006,D1006)</f>
        <v>0</v>
      </c>
      <c r="P1006" s="155">
        <f>+IF(OR($Q1006=Parametres!$G$2,$Q1006=Parametres!$G$3),K1006,E1006)</f>
        <v>0</v>
      </c>
      <c r="Q1006" s="154">
        <f t="shared" si="77"/>
        <v>0</v>
      </c>
      <c r="R1006" s="153">
        <f t="shared" si="78"/>
        <v>0</v>
      </c>
      <c r="S1006" s="154">
        <f t="shared" si="79"/>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hidden="1" customHeight="1">
      <c r="A1007" s="157"/>
      <c r="B1007" s="158"/>
      <c r="C1007" s="159"/>
      <c r="D1007" s="157"/>
      <c r="E1007" s="157"/>
      <c r="F1007" s="157"/>
      <c r="G1007" s="157"/>
      <c r="H1007" s="157"/>
      <c r="I1007" s="157"/>
      <c r="J1007" s="157"/>
      <c r="K1007" s="157"/>
      <c r="L1007" s="153">
        <f t="shared" si="75"/>
        <v>0</v>
      </c>
      <c r="M1007" s="154">
        <f t="shared" si="76"/>
        <v>0</v>
      </c>
      <c r="N1007" s="155">
        <f>+IF(OR($Q1007=Parametres!$G$2,$Q1007=Parametres!$G$3),I1007,C1007)</f>
        <v>0</v>
      </c>
      <c r="O1007" s="1122">
        <f>+IF(OR($Q1007=Parametres!$G$2,$Q1007=Parametres!$G$3),J1007,D1007)</f>
        <v>0</v>
      </c>
      <c r="P1007" s="155">
        <f>+IF(OR($Q1007=Parametres!$G$2,$Q1007=Parametres!$G$3),K1007,E1007)</f>
        <v>0</v>
      </c>
      <c r="Q1007" s="154">
        <f t="shared" si="77"/>
        <v>0</v>
      </c>
      <c r="R1007" s="153">
        <f t="shared" si="78"/>
        <v>0</v>
      </c>
      <c r="S1007" s="154">
        <f t="shared" si="79"/>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hidden="1" customHeight="1">
      <c r="A1008" s="157"/>
      <c r="B1008" s="158"/>
      <c r="C1008" s="159"/>
      <c r="D1008" s="157"/>
      <c r="E1008" s="157"/>
      <c r="F1008" s="157"/>
      <c r="G1008" s="157"/>
      <c r="H1008" s="157"/>
      <c r="I1008" s="157"/>
      <c r="J1008" s="157"/>
      <c r="K1008" s="157"/>
      <c r="L1008" s="153">
        <f t="shared" si="75"/>
        <v>0</v>
      </c>
      <c r="M1008" s="154">
        <f t="shared" si="76"/>
        <v>0</v>
      </c>
      <c r="N1008" s="155">
        <f>+IF(OR($Q1008=Parametres!$G$2,$Q1008=Parametres!$G$3),I1008,C1008)</f>
        <v>0</v>
      </c>
      <c r="O1008" s="1122">
        <f>+IF(OR($Q1008=Parametres!$G$2,$Q1008=Parametres!$G$3),J1008,D1008)</f>
        <v>0</v>
      </c>
      <c r="P1008" s="155">
        <f>+IF(OR($Q1008=Parametres!$G$2,$Q1008=Parametres!$G$3),K1008,E1008)</f>
        <v>0</v>
      </c>
      <c r="Q1008" s="154">
        <f t="shared" si="77"/>
        <v>0</v>
      </c>
      <c r="R1008" s="153">
        <f t="shared" si="78"/>
        <v>0</v>
      </c>
      <c r="S1008" s="154">
        <f t="shared" si="79"/>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hidden="1" customHeight="1">
      <c r="A1009" s="157"/>
      <c r="B1009" s="158"/>
      <c r="C1009" s="159"/>
      <c r="D1009" s="157"/>
      <c r="E1009" s="157"/>
      <c r="F1009" s="157"/>
      <c r="G1009" s="157"/>
      <c r="H1009" s="157"/>
      <c r="I1009" s="157"/>
      <c r="J1009" s="157"/>
      <c r="K1009" s="157"/>
      <c r="L1009" s="153">
        <f t="shared" si="75"/>
        <v>0</v>
      </c>
      <c r="M1009" s="154">
        <f t="shared" si="76"/>
        <v>0</v>
      </c>
      <c r="N1009" s="155">
        <f>+IF(OR($Q1009=Parametres!$G$2,$Q1009=Parametres!$G$3),I1009,C1009)</f>
        <v>0</v>
      </c>
      <c r="O1009" s="1122">
        <f>+IF(OR($Q1009=Parametres!$G$2,$Q1009=Parametres!$G$3),J1009,D1009)</f>
        <v>0</v>
      </c>
      <c r="P1009" s="155">
        <f>+IF(OR($Q1009=Parametres!$G$2,$Q1009=Parametres!$G$3),K1009,E1009)</f>
        <v>0</v>
      </c>
      <c r="Q1009" s="154">
        <f t="shared" si="77"/>
        <v>0</v>
      </c>
      <c r="R1009" s="153">
        <f t="shared" si="78"/>
        <v>0</v>
      </c>
      <c r="S1009" s="154">
        <f t="shared" si="79"/>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hidden="1" customHeight="1">
      <c r="A1010" s="157"/>
      <c r="B1010" s="158"/>
      <c r="C1010" s="159"/>
      <c r="D1010" s="157"/>
      <c r="E1010" s="157"/>
      <c r="F1010" s="157"/>
      <c r="G1010" s="157"/>
      <c r="H1010" s="157"/>
      <c r="I1010" s="157"/>
      <c r="J1010" s="157"/>
      <c r="K1010" s="157"/>
      <c r="L1010" s="153">
        <f t="shared" si="75"/>
        <v>0</v>
      </c>
      <c r="M1010" s="154">
        <f t="shared" si="76"/>
        <v>0</v>
      </c>
      <c r="N1010" s="155">
        <f>+IF(OR($Q1010=Parametres!$G$2,$Q1010=Parametres!$G$3),I1010,C1010)</f>
        <v>0</v>
      </c>
      <c r="O1010" s="1122">
        <f>+IF(OR($Q1010=Parametres!$G$2,$Q1010=Parametres!$G$3),J1010,D1010)</f>
        <v>0</v>
      </c>
      <c r="P1010" s="155">
        <f>+IF(OR($Q1010=Parametres!$G$2,$Q1010=Parametres!$G$3),K1010,E1010)</f>
        <v>0</v>
      </c>
      <c r="Q1010" s="154">
        <f t="shared" si="77"/>
        <v>0</v>
      </c>
      <c r="R1010" s="153">
        <f t="shared" si="78"/>
        <v>0</v>
      </c>
      <c r="S1010" s="154">
        <f t="shared" si="79"/>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hidden="1" customHeight="1">
      <c r="A1011" s="157"/>
      <c r="B1011" s="158"/>
      <c r="C1011" s="159"/>
      <c r="D1011" s="157"/>
      <c r="E1011" s="157"/>
      <c r="F1011" s="157"/>
      <c r="G1011" s="157"/>
      <c r="H1011" s="157"/>
      <c r="I1011" s="157"/>
      <c r="J1011" s="157"/>
      <c r="K1011" s="157"/>
      <c r="L1011" s="153">
        <f t="shared" si="75"/>
        <v>0</v>
      </c>
      <c r="M1011" s="154">
        <f t="shared" si="76"/>
        <v>0</v>
      </c>
      <c r="N1011" s="155">
        <f>+IF(OR($Q1011=Parametres!$G$2,$Q1011=Parametres!$G$3),I1011,C1011)</f>
        <v>0</v>
      </c>
      <c r="O1011" s="1122">
        <f>+IF(OR($Q1011=Parametres!$G$2,$Q1011=Parametres!$G$3),J1011,D1011)</f>
        <v>0</v>
      </c>
      <c r="P1011" s="155">
        <f>+IF(OR($Q1011=Parametres!$G$2,$Q1011=Parametres!$G$3),K1011,E1011)</f>
        <v>0</v>
      </c>
      <c r="Q1011" s="154">
        <f t="shared" si="77"/>
        <v>0</v>
      </c>
      <c r="R1011" s="153">
        <f t="shared" si="78"/>
        <v>0</v>
      </c>
      <c r="S1011" s="154">
        <f t="shared" si="79"/>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hidden="1" customHeight="1">
      <c r="A1012" s="157"/>
      <c r="B1012" s="158"/>
      <c r="C1012" s="159"/>
      <c r="D1012" s="157"/>
      <c r="E1012" s="157"/>
      <c r="F1012" s="157"/>
      <c r="G1012" s="157"/>
      <c r="H1012" s="157"/>
      <c r="I1012" s="157"/>
      <c r="J1012" s="157"/>
      <c r="K1012" s="157"/>
      <c r="L1012" s="153">
        <f t="shared" si="75"/>
        <v>0</v>
      </c>
      <c r="M1012" s="154">
        <f t="shared" si="76"/>
        <v>0</v>
      </c>
      <c r="N1012" s="155">
        <f>+IF(OR($Q1012=Parametres!$G$2,$Q1012=Parametres!$G$3),I1012,C1012)</f>
        <v>0</v>
      </c>
      <c r="O1012" s="1122">
        <f>+IF(OR($Q1012=Parametres!$G$2,$Q1012=Parametres!$G$3),J1012,D1012)</f>
        <v>0</v>
      </c>
      <c r="P1012" s="155">
        <f>+IF(OR($Q1012=Parametres!$G$2,$Q1012=Parametres!$G$3),K1012,E1012)</f>
        <v>0</v>
      </c>
      <c r="Q1012" s="154">
        <f t="shared" si="77"/>
        <v>0</v>
      </c>
      <c r="R1012" s="153">
        <f t="shared" si="78"/>
        <v>0</v>
      </c>
      <c r="S1012" s="154">
        <f t="shared" si="79"/>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hidden="1" customHeight="1">
      <c r="A1013" s="157"/>
      <c r="B1013" s="158"/>
      <c r="C1013" s="159"/>
      <c r="D1013" s="157"/>
      <c r="E1013" s="157"/>
      <c r="F1013" s="157"/>
      <c r="G1013" s="157"/>
      <c r="H1013" s="157"/>
      <c r="I1013" s="157"/>
      <c r="J1013" s="157"/>
      <c r="K1013" s="157"/>
      <c r="L1013" s="153">
        <f t="shared" si="75"/>
        <v>0</v>
      </c>
      <c r="M1013" s="154">
        <f t="shared" si="76"/>
        <v>0</v>
      </c>
      <c r="N1013" s="155">
        <f>+IF(OR($Q1013=Parametres!$G$2,$Q1013=Parametres!$G$3),I1013,C1013)</f>
        <v>0</v>
      </c>
      <c r="O1013" s="1122">
        <f>+IF(OR($Q1013=Parametres!$G$2,$Q1013=Parametres!$G$3),J1013,D1013)</f>
        <v>0</v>
      </c>
      <c r="P1013" s="155">
        <f>+IF(OR($Q1013=Parametres!$G$2,$Q1013=Parametres!$G$3),K1013,E1013)</f>
        <v>0</v>
      </c>
      <c r="Q1013" s="154">
        <f t="shared" si="77"/>
        <v>0</v>
      </c>
      <c r="R1013" s="153">
        <f t="shared" si="78"/>
        <v>0</v>
      </c>
      <c r="S1013" s="154">
        <f t="shared" si="79"/>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hidden="1" customHeight="1">
      <c r="A1014" s="157"/>
      <c r="B1014" s="158"/>
      <c r="C1014" s="159"/>
      <c r="D1014" s="157"/>
      <c r="E1014" s="157"/>
      <c r="F1014" s="157"/>
      <c r="G1014" s="157"/>
      <c r="H1014" s="157"/>
      <c r="I1014" s="157"/>
      <c r="J1014" s="157"/>
      <c r="K1014" s="157"/>
      <c r="L1014" s="153">
        <f t="shared" si="75"/>
        <v>0</v>
      </c>
      <c r="M1014" s="154">
        <f t="shared" si="76"/>
        <v>0</v>
      </c>
      <c r="N1014" s="155">
        <f>+IF(OR($Q1014=Parametres!$G$2,$Q1014=Parametres!$G$3),I1014,C1014)</f>
        <v>0</v>
      </c>
      <c r="O1014" s="1122">
        <f>+IF(OR($Q1014=Parametres!$G$2,$Q1014=Parametres!$G$3),J1014,D1014)</f>
        <v>0</v>
      </c>
      <c r="P1014" s="155">
        <f>+IF(OR($Q1014=Parametres!$G$2,$Q1014=Parametres!$G$3),K1014,E1014)</f>
        <v>0</v>
      </c>
      <c r="Q1014" s="154">
        <f t="shared" si="77"/>
        <v>0</v>
      </c>
      <c r="R1014" s="153">
        <f t="shared" si="78"/>
        <v>0</v>
      </c>
      <c r="S1014" s="154">
        <f t="shared" si="79"/>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hidden="1" customHeight="1">
      <c r="A1015" s="157"/>
      <c r="B1015" s="158"/>
      <c r="C1015" s="159"/>
      <c r="D1015" s="157"/>
      <c r="E1015" s="157"/>
      <c r="F1015" s="157"/>
      <c r="G1015" s="157"/>
      <c r="H1015" s="157"/>
      <c r="I1015" s="157"/>
      <c r="J1015" s="157"/>
      <c r="K1015" s="157"/>
      <c r="L1015" s="153">
        <f t="shared" si="75"/>
        <v>0</v>
      </c>
      <c r="M1015" s="154">
        <f t="shared" si="76"/>
        <v>0</v>
      </c>
      <c r="N1015" s="155">
        <f>+IF(OR($Q1015=Parametres!$G$2,$Q1015=Parametres!$G$3),I1015,C1015)</f>
        <v>0</v>
      </c>
      <c r="O1015" s="1122">
        <f>+IF(OR($Q1015=Parametres!$G$2,$Q1015=Parametres!$G$3),J1015,D1015)</f>
        <v>0</v>
      </c>
      <c r="P1015" s="155">
        <f>+IF(OR($Q1015=Parametres!$G$2,$Q1015=Parametres!$G$3),K1015,E1015)</f>
        <v>0</v>
      </c>
      <c r="Q1015" s="154">
        <f t="shared" si="77"/>
        <v>0</v>
      </c>
      <c r="R1015" s="153">
        <f t="shared" si="78"/>
        <v>0</v>
      </c>
      <c r="S1015" s="154">
        <f t="shared" si="79"/>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hidden="1" customHeight="1">
      <c r="A1016" s="157"/>
      <c r="B1016" s="158"/>
      <c r="C1016" s="159"/>
      <c r="D1016" s="157"/>
      <c r="E1016" s="157"/>
      <c r="F1016" s="157"/>
      <c r="G1016" s="157"/>
      <c r="H1016" s="157"/>
      <c r="I1016" s="157"/>
      <c r="J1016" s="157"/>
      <c r="K1016" s="157"/>
      <c r="L1016" s="153">
        <f t="shared" si="75"/>
        <v>0</v>
      </c>
      <c r="M1016" s="154">
        <f t="shared" si="76"/>
        <v>0</v>
      </c>
      <c r="N1016" s="155">
        <f>+IF(OR($Q1016=Parametres!$G$2,$Q1016=Parametres!$G$3),I1016,C1016)</f>
        <v>0</v>
      </c>
      <c r="O1016" s="1122">
        <f>+IF(OR($Q1016=Parametres!$G$2,$Q1016=Parametres!$G$3),J1016,D1016)</f>
        <v>0</v>
      </c>
      <c r="P1016" s="155">
        <f>+IF(OR($Q1016=Parametres!$G$2,$Q1016=Parametres!$G$3),K1016,E1016)</f>
        <v>0</v>
      </c>
      <c r="Q1016" s="154">
        <f t="shared" si="77"/>
        <v>0</v>
      </c>
      <c r="R1016" s="153">
        <f t="shared" si="78"/>
        <v>0</v>
      </c>
      <c r="S1016" s="154">
        <f t="shared" si="79"/>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hidden="1" customHeight="1">
      <c r="A1017" s="157"/>
      <c r="B1017" s="158"/>
      <c r="C1017" s="159"/>
      <c r="D1017" s="157"/>
      <c r="E1017" s="157"/>
      <c r="F1017" s="157"/>
      <c r="G1017" s="157"/>
      <c r="H1017" s="157"/>
      <c r="I1017" s="157"/>
      <c r="J1017" s="157"/>
      <c r="K1017" s="157"/>
      <c r="L1017" s="153">
        <f t="shared" si="75"/>
        <v>0</v>
      </c>
      <c r="M1017" s="154">
        <f t="shared" si="76"/>
        <v>0</v>
      </c>
      <c r="N1017" s="155">
        <f>+IF(OR($Q1017=Parametres!$G$2,$Q1017=Parametres!$G$3),I1017,C1017)</f>
        <v>0</v>
      </c>
      <c r="O1017" s="1122">
        <f>+IF(OR($Q1017=Parametres!$G$2,$Q1017=Parametres!$G$3),J1017,D1017)</f>
        <v>0</v>
      </c>
      <c r="P1017" s="155">
        <f>+IF(OR($Q1017=Parametres!$G$2,$Q1017=Parametres!$G$3),K1017,E1017)</f>
        <v>0</v>
      </c>
      <c r="Q1017" s="154">
        <f t="shared" si="77"/>
        <v>0</v>
      </c>
      <c r="R1017" s="153">
        <f t="shared" si="78"/>
        <v>0</v>
      </c>
      <c r="S1017" s="154">
        <f t="shared" si="79"/>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hidden="1" customHeight="1">
      <c r="A1018" s="157"/>
      <c r="B1018" s="158"/>
      <c r="C1018" s="159"/>
      <c r="D1018" s="157"/>
      <c r="E1018" s="157"/>
      <c r="F1018" s="157"/>
      <c r="G1018" s="157"/>
      <c r="H1018" s="157"/>
      <c r="I1018" s="157"/>
      <c r="J1018" s="157"/>
      <c r="K1018" s="157"/>
      <c r="L1018" s="153">
        <f t="shared" si="75"/>
        <v>0</v>
      </c>
      <c r="M1018" s="154">
        <f t="shared" si="76"/>
        <v>0</v>
      </c>
      <c r="N1018" s="155">
        <f>+IF(OR($Q1018=Parametres!$G$2,$Q1018=Parametres!$G$3),I1018,C1018)</f>
        <v>0</v>
      </c>
      <c r="O1018" s="1122">
        <f>+IF(OR($Q1018=Parametres!$G$2,$Q1018=Parametres!$G$3),J1018,D1018)</f>
        <v>0</v>
      </c>
      <c r="P1018" s="155">
        <f>+IF(OR($Q1018=Parametres!$G$2,$Q1018=Parametres!$G$3),K1018,E1018)</f>
        <v>0</v>
      </c>
      <c r="Q1018" s="154">
        <f t="shared" si="77"/>
        <v>0</v>
      </c>
      <c r="R1018" s="153">
        <f t="shared" si="78"/>
        <v>0</v>
      </c>
      <c r="S1018" s="154">
        <f t="shared" si="79"/>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hidden="1" customHeight="1">
      <c r="A1019" s="157"/>
      <c r="B1019" s="158"/>
      <c r="C1019" s="159"/>
      <c r="D1019" s="157"/>
      <c r="E1019" s="157"/>
      <c r="F1019" s="157"/>
      <c r="G1019" s="157"/>
      <c r="H1019" s="157"/>
      <c r="I1019" s="157"/>
      <c r="J1019" s="157"/>
      <c r="K1019" s="157"/>
      <c r="L1019" s="153">
        <f t="shared" si="75"/>
        <v>0</v>
      </c>
      <c r="M1019" s="154">
        <f t="shared" si="76"/>
        <v>0</v>
      </c>
      <c r="N1019" s="155">
        <f>+IF(OR($Q1019=Parametres!$G$2,$Q1019=Parametres!$G$3),I1019,C1019)</f>
        <v>0</v>
      </c>
      <c r="O1019" s="1122">
        <f>+IF(OR($Q1019=Parametres!$G$2,$Q1019=Parametres!$G$3),J1019,D1019)</f>
        <v>0</v>
      </c>
      <c r="P1019" s="155">
        <f>+IF(OR($Q1019=Parametres!$G$2,$Q1019=Parametres!$G$3),K1019,E1019)</f>
        <v>0</v>
      </c>
      <c r="Q1019" s="154">
        <f t="shared" si="77"/>
        <v>0</v>
      </c>
      <c r="R1019" s="153">
        <f t="shared" si="78"/>
        <v>0</v>
      </c>
      <c r="S1019" s="154">
        <f t="shared" si="79"/>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hidden="1" customHeight="1">
      <c r="A1020" s="157"/>
      <c r="B1020" s="158"/>
      <c r="C1020" s="159"/>
      <c r="D1020" s="157"/>
      <c r="E1020" s="157"/>
      <c r="F1020" s="157"/>
      <c r="G1020" s="157"/>
      <c r="H1020" s="157"/>
      <c r="I1020" s="157"/>
      <c r="J1020" s="157"/>
      <c r="K1020" s="157"/>
      <c r="L1020" s="153">
        <f t="shared" si="75"/>
        <v>0</v>
      </c>
      <c r="M1020" s="154">
        <f t="shared" si="76"/>
        <v>0</v>
      </c>
      <c r="N1020" s="155">
        <f>+IF(OR($Q1020=Parametres!$G$2,$Q1020=Parametres!$G$3),I1020,C1020)</f>
        <v>0</v>
      </c>
      <c r="O1020" s="1122">
        <f>+IF(OR($Q1020=Parametres!$G$2,$Q1020=Parametres!$G$3),J1020,D1020)</f>
        <v>0</v>
      </c>
      <c r="P1020" s="155">
        <f>+IF(OR($Q1020=Parametres!$G$2,$Q1020=Parametres!$G$3),K1020,E1020)</f>
        <v>0</v>
      </c>
      <c r="Q1020" s="154">
        <f t="shared" si="77"/>
        <v>0</v>
      </c>
      <c r="R1020" s="153">
        <f t="shared" si="78"/>
        <v>0</v>
      </c>
      <c r="S1020" s="154">
        <f t="shared" si="79"/>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hidden="1" customHeight="1">
      <c r="A1021" s="157"/>
      <c r="B1021" s="158"/>
      <c r="C1021" s="159"/>
      <c r="D1021" s="157"/>
      <c r="E1021" s="157"/>
      <c r="F1021" s="157"/>
      <c r="G1021" s="157"/>
      <c r="H1021" s="157"/>
      <c r="I1021" s="157"/>
      <c r="J1021" s="157"/>
      <c r="K1021" s="157"/>
      <c r="L1021" s="153">
        <f t="shared" si="75"/>
        <v>0</v>
      </c>
      <c r="M1021" s="154">
        <f t="shared" si="76"/>
        <v>0</v>
      </c>
      <c r="N1021" s="155">
        <f>+IF(OR($Q1021=Parametres!$G$2,$Q1021=Parametres!$G$3),I1021,C1021)</f>
        <v>0</v>
      </c>
      <c r="O1021" s="1122">
        <f>+IF(OR($Q1021=Parametres!$G$2,$Q1021=Parametres!$G$3),J1021,D1021)</f>
        <v>0</v>
      </c>
      <c r="P1021" s="155">
        <f>+IF(OR($Q1021=Parametres!$G$2,$Q1021=Parametres!$G$3),K1021,E1021)</f>
        <v>0</v>
      </c>
      <c r="Q1021" s="154">
        <f t="shared" si="77"/>
        <v>0</v>
      </c>
      <c r="R1021" s="153">
        <f t="shared" si="78"/>
        <v>0</v>
      </c>
      <c r="S1021" s="154">
        <f t="shared" si="79"/>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hidden="1" customHeight="1">
      <c r="A1022" s="157"/>
      <c r="B1022" s="158"/>
      <c r="C1022" s="159"/>
      <c r="D1022" s="157"/>
      <c r="E1022" s="157"/>
      <c r="F1022" s="157"/>
      <c r="G1022" s="157"/>
      <c r="H1022" s="157"/>
      <c r="I1022" s="157"/>
      <c r="J1022" s="157"/>
      <c r="K1022" s="157"/>
      <c r="L1022" s="153">
        <f t="shared" si="75"/>
        <v>0</v>
      </c>
      <c r="M1022" s="154">
        <f t="shared" si="76"/>
        <v>0</v>
      </c>
      <c r="N1022" s="155">
        <f>+IF(OR($Q1022=Parametres!$G$2,$Q1022=Parametres!$G$3),I1022,C1022)</f>
        <v>0</v>
      </c>
      <c r="O1022" s="1122">
        <f>+IF(OR($Q1022=Parametres!$G$2,$Q1022=Parametres!$G$3),J1022,D1022)</f>
        <v>0</v>
      </c>
      <c r="P1022" s="155">
        <f>+IF(OR($Q1022=Parametres!$G$2,$Q1022=Parametres!$G$3),K1022,E1022)</f>
        <v>0</v>
      </c>
      <c r="Q1022" s="154">
        <f t="shared" si="77"/>
        <v>0</v>
      </c>
      <c r="R1022" s="153">
        <f t="shared" si="78"/>
        <v>0</v>
      </c>
      <c r="S1022" s="154">
        <f t="shared" si="79"/>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hidden="1" customHeight="1">
      <c r="A1023" s="157"/>
      <c r="B1023" s="158"/>
      <c r="C1023" s="159"/>
      <c r="D1023" s="157"/>
      <c r="E1023" s="157"/>
      <c r="F1023" s="157"/>
      <c r="G1023" s="157"/>
      <c r="H1023" s="157"/>
      <c r="I1023" s="157"/>
      <c r="J1023" s="157"/>
      <c r="K1023" s="157"/>
      <c r="L1023" s="153">
        <f t="shared" si="75"/>
        <v>0</v>
      </c>
      <c r="M1023" s="154">
        <f t="shared" si="76"/>
        <v>0</v>
      </c>
      <c r="N1023" s="155">
        <f>+IF(OR($Q1023=Parametres!$G$2,$Q1023=Parametres!$G$3),I1023,C1023)</f>
        <v>0</v>
      </c>
      <c r="O1023" s="1122">
        <f>+IF(OR($Q1023=Parametres!$G$2,$Q1023=Parametres!$G$3),J1023,D1023)</f>
        <v>0</v>
      </c>
      <c r="P1023" s="155">
        <f>+IF(OR($Q1023=Parametres!$G$2,$Q1023=Parametres!$G$3),K1023,E1023)</f>
        <v>0</v>
      </c>
      <c r="Q1023" s="154">
        <f t="shared" si="77"/>
        <v>0</v>
      </c>
      <c r="R1023" s="153">
        <f t="shared" si="78"/>
        <v>0</v>
      </c>
      <c r="S1023" s="154">
        <f t="shared" si="79"/>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hidden="1" customHeight="1">
      <c r="A1024" s="157"/>
      <c r="B1024" s="158"/>
      <c r="C1024" s="159"/>
      <c r="D1024" s="157"/>
      <c r="E1024" s="157"/>
      <c r="F1024" s="157"/>
      <c r="G1024" s="157"/>
      <c r="H1024" s="157"/>
      <c r="I1024" s="157"/>
      <c r="J1024" s="157"/>
      <c r="K1024" s="157"/>
      <c r="L1024" s="153">
        <f t="shared" si="75"/>
        <v>0</v>
      </c>
      <c r="M1024" s="154">
        <f t="shared" si="76"/>
        <v>0</v>
      </c>
      <c r="N1024" s="155">
        <f>+IF(OR($Q1024=Parametres!$G$2,$Q1024=Parametres!$G$3),I1024,C1024)</f>
        <v>0</v>
      </c>
      <c r="O1024" s="1122">
        <f>+IF(OR($Q1024=Parametres!$G$2,$Q1024=Parametres!$G$3),J1024,D1024)</f>
        <v>0</v>
      </c>
      <c r="P1024" s="155">
        <f>+IF(OR($Q1024=Parametres!$G$2,$Q1024=Parametres!$G$3),K1024,E1024)</f>
        <v>0</v>
      </c>
      <c r="Q1024" s="154">
        <f t="shared" si="77"/>
        <v>0</v>
      </c>
      <c r="R1024" s="153">
        <f t="shared" si="78"/>
        <v>0</v>
      </c>
      <c r="S1024" s="154">
        <f t="shared" si="79"/>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hidden="1" customHeight="1">
      <c r="A1025" s="157"/>
      <c r="B1025" s="158"/>
      <c r="C1025" s="159"/>
      <c r="D1025" s="157"/>
      <c r="E1025" s="157"/>
      <c r="F1025" s="157"/>
      <c r="G1025" s="157"/>
      <c r="H1025" s="157"/>
      <c r="I1025" s="157"/>
      <c r="J1025" s="157"/>
      <c r="K1025" s="157"/>
      <c r="L1025" s="153">
        <f t="shared" si="75"/>
        <v>0</v>
      </c>
      <c r="M1025" s="154">
        <f t="shared" si="76"/>
        <v>0</v>
      </c>
      <c r="N1025" s="155">
        <f>+IF(OR($Q1025=Parametres!$G$2,$Q1025=Parametres!$G$3),I1025,C1025)</f>
        <v>0</v>
      </c>
      <c r="O1025" s="1122">
        <f>+IF(OR($Q1025=Parametres!$G$2,$Q1025=Parametres!$G$3),J1025,D1025)</f>
        <v>0</v>
      </c>
      <c r="P1025" s="155">
        <f>+IF(OR($Q1025=Parametres!$G$2,$Q1025=Parametres!$G$3),K1025,E1025)</f>
        <v>0</v>
      </c>
      <c r="Q1025" s="154">
        <f t="shared" si="77"/>
        <v>0</v>
      </c>
      <c r="R1025" s="153">
        <f t="shared" si="78"/>
        <v>0</v>
      </c>
      <c r="S1025" s="154">
        <f t="shared" si="79"/>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hidden="1" customHeight="1">
      <c r="A1026" s="157"/>
      <c r="B1026" s="158"/>
      <c r="C1026" s="159"/>
      <c r="D1026" s="157"/>
      <c r="E1026" s="157"/>
      <c r="F1026" s="157"/>
      <c r="G1026" s="157"/>
      <c r="H1026" s="157"/>
      <c r="I1026" s="157"/>
      <c r="J1026" s="157"/>
      <c r="K1026" s="157"/>
      <c r="L1026" s="153">
        <f t="shared" ref="L1026:L1054" si="80">+B1026</f>
        <v>0</v>
      </c>
      <c r="M1026" s="154">
        <f t="shared" ref="M1026:M1054" si="81">+A1026</f>
        <v>0</v>
      </c>
      <c r="N1026" s="155">
        <f>+IF(OR($Q1026=Parametres!$G$2,$Q1026=Parametres!$G$3),I1026,C1026)</f>
        <v>0</v>
      </c>
      <c r="O1026" s="1122">
        <f>+IF(OR($Q1026=Parametres!$G$2,$Q1026=Parametres!$G$3),J1026,D1026)</f>
        <v>0</v>
      </c>
      <c r="P1026" s="155">
        <f>+IF(OR($Q1026=Parametres!$G$2,$Q1026=Parametres!$G$3),K1026,E1026)</f>
        <v>0</v>
      </c>
      <c r="Q1026" s="154">
        <f t="shared" ref="Q1026:Q1054" si="82">+F1026</f>
        <v>0</v>
      </c>
      <c r="R1026" s="153">
        <f t="shared" ref="R1026:R1054" si="83">+G1026</f>
        <v>0</v>
      </c>
      <c r="S1026" s="154">
        <f t="shared" ref="S1026:S1054" si="84">+H1026</f>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hidden="1" customHeight="1">
      <c r="A1027" s="157"/>
      <c r="B1027" s="158"/>
      <c r="C1027" s="159"/>
      <c r="D1027" s="157"/>
      <c r="E1027" s="157"/>
      <c r="F1027" s="157"/>
      <c r="G1027" s="157"/>
      <c r="H1027" s="157"/>
      <c r="I1027" s="157"/>
      <c r="J1027" s="157"/>
      <c r="K1027" s="157"/>
      <c r="L1027" s="153">
        <f t="shared" si="80"/>
        <v>0</v>
      </c>
      <c r="M1027" s="154">
        <f t="shared" si="81"/>
        <v>0</v>
      </c>
      <c r="N1027" s="155">
        <f>+IF(OR($Q1027=Parametres!$G$2,$Q1027=Parametres!$G$3),I1027,C1027)</f>
        <v>0</v>
      </c>
      <c r="O1027" s="1122">
        <f>+IF(OR($Q1027=Parametres!$G$2,$Q1027=Parametres!$G$3),J1027,D1027)</f>
        <v>0</v>
      </c>
      <c r="P1027" s="155">
        <f>+IF(OR($Q1027=Parametres!$G$2,$Q1027=Parametres!$G$3),K1027,E1027)</f>
        <v>0</v>
      </c>
      <c r="Q1027" s="154">
        <f t="shared" si="82"/>
        <v>0</v>
      </c>
      <c r="R1027" s="153">
        <f t="shared" si="83"/>
        <v>0</v>
      </c>
      <c r="S1027" s="154">
        <f t="shared" si="84"/>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hidden="1" customHeight="1">
      <c r="A1028" s="157"/>
      <c r="B1028" s="158"/>
      <c r="C1028" s="159"/>
      <c r="D1028" s="157"/>
      <c r="E1028" s="157"/>
      <c r="F1028" s="157"/>
      <c r="G1028" s="157"/>
      <c r="H1028" s="157"/>
      <c r="I1028" s="157"/>
      <c r="J1028" s="157"/>
      <c r="K1028" s="157"/>
      <c r="L1028" s="153">
        <f t="shared" si="80"/>
        <v>0</v>
      </c>
      <c r="M1028" s="154">
        <f t="shared" si="81"/>
        <v>0</v>
      </c>
      <c r="N1028" s="155">
        <f>+IF(OR($Q1028=Parametres!$G$2,$Q1028=Parametres!$G$3),I1028,C1028)</f>
        <v>0</v>
      </c>
      <c r="O1028" s="1122">
        <f>+IF(OR($Q1028=Parametres!$G$2,$Q1028=Parametres!$G$3),J1028,D1028)</f>
        <v>0</v>
      </c>
      <c r="P1028" s="155">
        <f>+IF(OR($Q1028=Parametres!$G$2,$Q1028=Parametres!$G$3),K1028,E1028)</f>
        <v>0</v>
      </c>
      <c r="Q1028" s="154">
        <f t="shared" si="82"/>
        <v>0</v>
      </c>
      <c r="R1028" s="153">
        <f t="shared" si="83"/>
        <v>0</v>
      </c>
      <c r="S1028" s="154">
        <f t="shared" si="84"/>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hidden="1" customHeight="1">
      <c r="A1029" s="157"/>
      <c r="B1029" s="158"/>
      <c r="C1029" s="159"/>
      <c r="D1029" s="157"/>
      <c r="E1029" s="157"/>
      <c r="F1029" s="157"/>
      <c r="G1029" s="157"/>
      <c r="H1029" s="157"/>
      <c r="I1029" s="157"/>
      <c r="J1029" s="157"/>
      <c r="K1029" s="157"/>
      <c r="L1029" s="153">
        <f t="shared" si="80"/>
        <v>0</v>
      </c>
      <c r="M1029" s="154">
        <f t="shared" si="81"/>
        <v>0</v>
      </c>
      <c r="N1029" s="155">
        <f>+IF(OR($Q1029=Parametres!$G$2,$Q1029=Parametres!$G$3),I1029,C1029)</f>
        <v>0</v>
      </c>
      <c r="O1029" s="1122">
        <f>+IF(OR($Q1029=Parametres!$G$2,$Q1029=Parametres!$G$3),J1029,D1029)</f>
        <v>0</v>
      </c>
      <c r="P1029" s="155">
        <f>+IF(OR($Q1029=Parametres!$G$2,$Q1029=Parametres!$G$3),K1029,E1029)</f>
        <v>0</v>
      </c>
      <c r="Q1029" s="154">
        <f t="shared" si="82"/>
        <v>0</v>
      </c>
      <c r="R1029" s="153">
        <f t="shared" si="83"/>
        <v>0</v>
      </c>
      <c r="S1029" s="154">
        <f t="shared" si="84"/>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hidden="1" customHeight="1">
      <c r="A1030" s="157"/>
      <c r="B1030" s="158"/>
      <c r="C1030" s="159"/>
      <c r="D1030" s="157"/>
      <c r="E1030" s="157"/>
      <c r="F1030" s="157"/>
      <c r="G1030" s="157"/>
      <c r="H1030" s="157"/>
      <c r="I1030" s="157"/>
      <c r="J1030" s="157"/>
      <c r="K1030" s="157"/>
      <c r="L1030" s="153">
        <f t="shared" si="80"/>
        <v>0</v>
      </c>
      <c r="M1030" s="154">
        <f t="shared" si="81"/>
        <v>0</v>
      </c>
      <c r="N1030" s="155">
        <f>+IF(OR($Q1030=Parametres!$G$2,$Q1030=Parametres!$G$3),I1030,C1030)</f>
        <v>0</v>
      </c>
      <c r="O1030" s="1122">
        <f>+IF(OR($Q1030=Parametres!$G$2,$Q1030=Parametres!$G$3),J1030,D1030)</f>
        <v>0</v>
      </c>
      <c r="P1030" s="155">
        <f>+IF(OR($Q1030=Parametres!$G$2,$Q1030=Parametres!$G$3),K1030,E1030)</f>
        <v>0</v>
      </c>
      <c r="Q1030" s="154">
        <f t="shared" si="82"/>
        <v>0</v>
      </c>
      <c r="R1030" s="153">
        <f t="shared" si="83"/>
        <v>0</v>
      </c>
      <c r="S1030" s="154">
        <f t="shared" si="84"/>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hidden="1" customHeight="1">
      <c r="A1031" s="157"/>
      <c r="B1031" s="158"/>
      <c r="C1031" s="159"/>
      <c r="D1031" s="157"/>
      <c r="E1031" s="157"/>
      <c r="F1031" s="157"/>
      <c r="G1031" s="157"/>
      <c r="H1031" s="157"/>
      <c r="I1031" s="157"/>
      <c r="J1031" s="157"/>
      <c r="K1031" s="157"/>
      <c r="L1031" s="153">
        <f t="shared" si="80"/>
        <v>0</v>
      </c>
      <c r="M1031" s="154">
        <f t="shared" si="81"/>
        <v>0</v>
      </c>
      <c r="N1031" s="155">
        <f>+IF(OR($Q1031=Parametres!$G$2,$Q1031=Parametres!$G$3),I1031,C1031)</f>
        <v>0</v>
      </c>
      <c r="O1031" s="1122">
        <f>+IF(OR($Q1031=Parametres!$G$2,$Q1031=Parametres!$G$3),J1031,D1031)</f>
        <v>0</v>
      </c>
      <c r="P1031" s="155">
        <f>+IF(OR($Q1031=Parametres!$G$2,$Q1031=Parametres!$G$3),K1031,E1031)</f>
        <v>0</v>
      </c>
      <c r="Q1031" s="154">
        <f t="shared" si="82"/>
        <v>0</v>
      </c>
      <c r="R1031" s="153">
        <f t="shared" si="83"/>
        <v>0</v>
      </c>
      <c r="S1031" s="154">
        <f t="shared" si="84"/>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hidden="1" customHeight="1">
      <c r="A1032" s="157"/>
      <c r="B1032" s="158"/>
      <c r="C1032" s="159"/>
      <c r="D1032" s="157"/>
      <c r="E1032" s="157"/>
      <c r="F1032" s="157"/>
      <c r="G1032" s="157"/>
      <c r="H1032" s="157"/>
      <c r="I1032" s="157"/>
      <c r="J1032" s="157"/>
      <c r="K1032" s="157"/>
      <c r="L1032" s="153">
        <f t="shared" si="80"/>
        <v>0</v>
      </c>
      <c r="M1032" s="154">
        <f t="shared" si="81"/>
        <v>0</v>
      </c>
      <c r="N1032" s="155">
        <f>+IF(OR($Q1032=Parametres!$G$2,$Q1032=Parametres!$G$3),I1032,C1032)</f>
        <v>0</v>
      </c>
      <c r="O1032" s="1122">
        <f>+IF(OR($Q1032=Parametres!$G$2,$Q1032=Parametres!$G$3),J1032,D1032)</f>
        <v>0</v>
      </c>
      <c r="P1032" s="155">
        <f>+IF(OR($Q1032=Parametres!$G$2,$Q1032=Parametres!$G$3),K1032,E1032)</f>
        <v>0</v>
      </c>
      <c r="Q1032" s="154">
        <f t="shared" si="82"/>
        <v>0</v>
      </c>
      <c r="R1032" s="153">
        <f t="shared" si="83"/>
        <v>0</v>
      </c>
      <c r="S1032" s="154">
        <f t="shared" si="84"/>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hidden="1" customHeight="1">
      <c r="A1033" s="157"/>
      <c r="B1033" s="158"/>
      <c r="C1033" s="159"/>
      <c r="D1033" s="157"/>
      <c r="E1033" s="157"/>
      <c r="F1033" s="157"/>
      <c r="G1033" s="157"/>
      <c r="H1033" s="157"/>
      <c r="I1033" s="157"/>
      <c r="J1033" s="157"/>
      <c r="K1033" s="157"/>
      <c r="L1033" s="153">
        <f t="shared" si="80"/>
        <v>0</v>
      </c>
      <c r="M1033" s="154">
        <f t="shared" si="81"/>
        <v>0</v>
      </c>
      <c r="N1033" s="155">
        <f>+IF(OR($Q1033=Parametres!$G$2,$Q1033=Parametres!$G$3),I1033,C1033)</f>
        <v>0</v>
      </c>
      <c r="O1033" s="1122">
        <f>+IF(OR($Q1033=Parametres!$G$2,$Q1033=Parametres!$G$3),J1033,D1033)</f>
        <v>0</v>
      </c>
      <c r="P1033" s="155">
        <f>+IF(OR($Q1033=Parametres!$G$2,$Q1033=Parametres!$G$3),K1033,E1033)</f>
        <v>0</v>
      </c>
      <c r="Q1033" s="154">
        <f t="shared" si="82"/>
        <v>0</v>
      </c>
      <c r="R1033" s="153">
        <f t="shared" si="83"/>
        <v>0</v>
      </c>
      <c r="S1033" s="154">
        <f t="shared" si="84"/>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hidden="1" customHeight="1">
      <c r="A1034" s="157"/>
      <c r="B1034" s="158"/>
      <c r="C1034" s="159"/>
      <c r="D1034" s="157"/>
      <c r="E1034" s="157"/>
      <c r="F1034" s="157"/>
      <c r="G1034" s="157"/>
      <c r="H1034" s="157"/>
      <c r="I1034" s="157"/>
      <c r="J1034" s="157"/>
      <c r="K1034" s="157"/>
      <c r="L1034" s="153">
        <f t="shared" si="80"/>
        <v>0</v>
      </c>
      <c r="M1034" s="154">
        <f t="shared" si="81"/>
        <v>0</v>
      </c>
      <c r="N1034" s="155">
        <f>+IF(OR($Q1034=Parametres!$G$2,$Q1034=Parametres!$G$3),I1034,C1034)</f>
        <v>0</v>
      </c>
      <c r="O1034" s="1122">
        <f>+IF(OR($Q1034=Parametres!$G$2,$Q1034=Parametres!$G$3),J1034,D1034)</f>
        <v>0</v>
      </c>
      <c r="P1034" s="155">
        <f>+IF(OR($Q1034=Parametres!$G$2,$Q1034=Parametres!$G$3),K1034,E1034)</f>
        <v>0</v>
      </c>
      <c r="Q1034" s="154">
        <f t="shared" si="82"/>
        <v>0</v>
      </c>
      <c r="R1034" s="153">
        <f t="shared" si="83"/>
        <v>0</v>
      </c>
      <c r="S1034" s="154">
        <f t="shared" si="84"/>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hidden="1" customHeight="1">
      <c r="A1035" s="157"/>
      <c r="B1035" s="158"/>
      <c r="C1035" s="159"/>
      <c r="D1035" s="157"/>
      <c r="E1035" s="157"/>
      <c r="F1035" s="157"/>
      <c r="G1035" s="157"/>
      <c r="H1035" s="157"/>
      <c r="I1035" s="157"/>
      <c r="J1035" s="157"/>
      <c r="K1035" s="157"/>
      <c r="L1035" s="153">
        <f t="shared" si="80"/>
        <v>0</v>
      </c>
      <c r="M1035" s="154">
        <f t="shared" si="81"/>
        <v>0</v>
      </c>
      <c r="N1035" s="155">
        <f>+IF(OR($Q1035=Parametres!$G$2,$Q1035=Parametres!$G$3),I1035,C1035)</f>
        <v>0</v>
      </c>
      <c r="O1035" s="1122">
        <f>+IF(OR($Q1035=Parametres!$G$2,$Q1035=Parametres!$G$3),J1035,D1035)</f>
        <v>0</v>
      </c>
      <c r="P1035" s="155">
        <f>+IF(OR($Q1035=Parametres!$G$2,$Q1035=Parametres!$G$3),K1035,E1035)</f>
        <v>0</v>
      </c>
      <c r="Q1035" s="154">
        <f t="shared" si="82"/>
        <v>0</v>
      </c>
      <c r="R1035" s="153">
        <f t="shared" si="83"/>
        <v>0</v>
      </c>
      <c r="S1035" s="154">
        <f t="shared" si="84"/>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hidden="1" customHeight="1">
      <c r="A1036" s="157"/>
      <c r="B1036" s="158"/>
      <c r="C1036" s="159"/>
      <c r="D1036" s="157"/>
      <c r="E1036" s="157"/>
      <c r="F1036" s="157"/>
      <c r="G1036" s="157"/>
      <c r="H1036" s="157"/>
      <c r="I1036" s="157"/>
      <c r="J1036" s="157"/>
      <c r="K1036" s="157"/>
      <c r="L1036" s="153">
        <f t="shared" si="80"/>
        <v>0</v>
      </c>
      <c r="M1036" s="154">
        <f t="shared" si="81"/>
        <v>0</v>
      </c>
      <c r="N1036" s="155">
        <f>+IF(OR($Q1036=Parametres!$G$2,$Q1036=Parametres!$G$3),I1036,C1036)</f>
        <v>0</v>
      </c>
      <c r="O1036" s="1122">
        <f>+IF(OR($Q1036=Parametres!$G$2,$Q1036=Parametres!$G$3),J1036,D1036)</f>
        <v>0</v>
      </c>
      <c r="P1036" s="155">
        <f>+IF(OR($Q1036=Parametres!$G$2,$Q1036=Parametres!$G$3),K1036,E1036)</f>
        <v>0</v>
      </c>
      <c r="Q1036" s="154">
        <f t="shared" si="82"/>
        <v>0</v>
      </c>
      <c r="R1036" s="153">
        <f t="shared" si="83"/>
        <v>0</v>
      </c>
      <c r="S1036" s="154">
        <f t="shared" si="84"/>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hidden="1" customHeight="1">
      <c r="A1037" s="157"/>
      <c r="B1037" s="158"/>
      <c r="C1037" s="159"/>
      <c r="D1037" s="157"/>
      <c r="E1037" s="157"/>
      <c r="F1037" s="157"/>
      <c r="G1037" s="157"/>
      <c r="H1037" s="157"/>
      <c r="I1037" s="157"/>
      <c r="J1037" s="157"/>
      <c r="K1037" s="157"/>
      <c r="L1037" s="153">
        <f t="shared" si="80"/>
        <v>0</v>
      </c>
      <c r="M1037" s="154">
        <f t="shared" si="81"/>
        <v>0</v>
      </c>
      <c r="N1037" s="155">
        <f>+IF(OR($Q1037=Parametres!$G$2,$Q1037=Parametres!$G$3),I1037,C1037)</f>
        <v>0</v>
      </c>
      <c r="O1037" s="1122">
        <f>+IF(OR($Q1037=Parametres!$G$2,$Q1037=Parametres!$G$3),J1037,D1037)</f>
        <v>0</v>
      </c>
      <c r="P1037" s="155">
        <f>+IF(OR($Q1037=Parametres!$G$2,$Q1037=Parametres!$G$3),K1037,E1037)</f>
        <v>0</v>
      </c>
      <c r="Q1037" s="154">
        <f t="shared" si="82"/>
        <v>0</v>
      </c>
      <c r="R1037" s="153">
        <f t="shared" si="83"/>
        <v>0</v>
      </c>
      <c r="S1037" s="154">
        <f t="shared" si="84"/>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hidden="1" customHeight="1">
      <c r="A1038" s="157"/>
      <c r="B1038" s="158"/>
      <c r="C1038" s="159"/>
      <c r="D1038" s="157"/>
      <c r="E1038" s="157"/>
      <c r="F1038" s="157"/>
      <c r="G1038" s="157"/>
      <c r="H1038" s="157"/>
      <c r="I1038" s="157"/>
      <c r="J1038" s="157"/>
      <c r="K1038" s="157"/>
      <c r="L1038" s="153">
        <f t="shared" si="80"/>
        <v>0</v>
      </c>
      <c r="M1038" s="154">
        <f t="shared" si="81"/>
        <v>0</v>
      </c>
      <c r="N1038" s="155">
        <f>+IF(OR($Q1038=Parametres!$G$2,$Q1038=Parametres!$G$3),I1038,C1038)</f>
        <v>0</v>
      </c>
      <c r="O1038" s="1122">
        <f>+IF(OR($Q1038=Parametres!$G$2,$Q1038=Parametres!$G$3),J1038,D1038)</f>
        <v>0</v>
      </c>
      <c r="P1038" s="155">
        <f>+IF(OR($Q1038=Parametres!$G$2,$Q1038=Parametres!$G$3),K1038,E1038)</f>
        <v>0</v>
      </c>
      <c r="Q1038" s="154">
        <f t="shared" si="82"/>
        <v>0</v>
      </c>
      <c r="R1038" s="153">
        <f t="shared" si="83"/>
        <v>0</v>
      </c>
      <c r="S1038" s="154">
        <f t="shared" si="84"/>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hidden="1" customHeight="1">
      <c r="A1039" s="157"/>
      <c r="B1039" s="158"/>
      <c r="C1039" s="159"/>
      <c r="D1039" s="157"/>
      <c r="E1039" s="157"/>
      <c r="F1039" s="157"/>
      <c r="G1039" s="157"/>
      <c r="H1039" s="157"/>
      <c r="I1039" s="157"/>
      <c r="J1039" s="157"/>
      <c r="K1039" s="157"/>
      <c r="L1039" s="153">
        <f t="shared" si="80"/>
        <v>0</v>
      </c>
      <c r="M1039" s="154">
        <f t="shared" si="81"/>
        <v>0</v>
      </c>
      <c r="N1039" s="155">
        <f>+IF(OR($Q1039=Parametres!$G$2,$Q1039=Parametres!$G$3),I1039,C1039)</f>
        <v>0</v>
      </c>
      <c r="O1039" s="1122">
        <f>+IF(OR($Q1039=Parametres!$G$2,$Q1039=Parametres!$G$3),J1039,D1039)</f>
        <v>0</v>
      </c>
      <c r="P1039" s="155">
        <f>+IF(OR($Q1039=Parametres!$G$2,$Q1039=Parametres!$G$3),K1039,E1039)</f>
        <v>0</v>
      </c>
      <c r="Q1039" s="154">
        <f t="shared" si="82"/>
        <v>0</v>
      </c>
      <c r="R1039" s="153">
        <f t="shared" si="83"/>
        <v>0</v>
      </c>
      <c r="S1039" s="154">
        <f t="shared" si="84"/>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hidden="1" customHeight="1">
      <c r="A1040" s="157"/>
      <c r="B1040" s="158"/>
      <c r="C1040" s="159"/>
      <c r="D1040" s="157"/>
      <c r="E1040" s="157"/>
      <c r="F1040" s="157"/>
      <c r="G1040" s="157"/>
      <c r="H1040" s="157"/>
      <c r="I1040" s="157"/>
      <c r="J1040" s="157"/>
      <c r="K1040" s="157"/>
      <c r="L1040" s="153">
        <f t="shared" si="80"/>
        <v>0</v>
      </c>
      <c r="M1040" s="154">
        <f t="shared" si="81"/>
        <v>0</v>
      </c>
      <c r="N1040" s="155">
        <f>+IF(OR($Q1040=Parametres!$G$2,$Q1040=Parametres!$G$3),I1040,C1040)</f>
        <v>0</v>
      </c>
      <c r="O1040" s="1122">
        <f>+IF(OR($Q1040=Parametres!$G$2,$Q1040=Parametres!$G$3),J1040,D1040)</f>
        <v>0</v>
      </c>
      <c r="P1040" s="155">
        <f>+IF(OR($Q1040=Parametres!$G$2,$Q1040=Parametres!$G$3),K1040,E1040)</f>
        <v>0</v>
      </c>
      <c r="Q1040" s="154">
        <f t="shared" si="82"/>
        <v>0</v>
      </c>
      <c r="R1040" s="153">
        <f t="shared" si="83"/>
        <v>0</v>
      </c>
      <c r="S1040" s="154">
        <f t="shared" si="84"/>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hidden="1" customHeight="1">
      <c r="A1041" s="157"/>
      <c r="B1041" s="158"/>
      <c r="C1041" s="159"/>
      <c r="D1041" s="157"/>
      <c r="E1041" s="157"/>
      <c r="F1041" s="157"/>
      <c r="G1041" s="157"/>
      <c r="H1041" s="157"/>
      <c r="I1041" s="157"/>
      <c r="J1041" s="157"/>
      <c r="K1041" s="157"/>
      <c r="L1041" s="153">
        <f t="shared" si="80"/>
        <v>0</v>
      </c>
      <c r="M1041" s="154">
        <f t="shared" si="81"/>
        <v>0</v>
      </c>
      <c r="N1041" s="155">
        <f>+IF(OR($Q1041=Parametres!$G$2,$Q1041=Parametres!$G$3),I1041,C1041)</f>
        <v>0</v>
      </c>
      <c r="O1041" s="1122">
        <f>+IF(OR($Q1041=Parametres!$G$2,$Q1041=Parametres!$G$3),J1041,D1041)</f>
        <v>0</v>
      </c>
      <c r="P1041" s="155">
        <f>+IF(OR($Q1041=Parametres!$G$2,$Q1041=Parametres!$G$3),K1041,E1041)</f>
        <v>0</v>
      </c>
      <c r="Q1041" s="154">
        <f t="shared" si="82"/>
        <v>0</v>
      </c>
      <c r="R1041" s="153">
        <f t="shared" si="83"/>
        <v>0</v>
      </c>
      <c r="S1041" s="154">
        <f t="shared" si="84"/>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hidden="1" customHeight="1">
      <c r="A1042" s="157"/>
      <c r="B1042" s="158"/>
      <c r="C1042" s="159"/>
      <c r="D1042" s="157"/>
      <c r="E1042" s="157"/>
      <c r="F1042" s="157"/>
      <c r="G1042" s="157"/>
      <c r="H1042" s="157"/>
      <c r="I1042" s="157"/>
      <c r="J1042" s="157"/>
      <c r="K1042" s="157"/>
      <c r="L1042" s="153">
        <f t="shared" si="80"/>
        <v>0</v>
      </c>
      <c r="M1042" s="154">
        <f t="shared" si="81"/>
        <v>0</v>
      </c>
      <c r="N1042" s="155">
        <f>+IF(OR($Q1042=Parametres!$G$2,$Q1042=Parametres!$G$3),I1042,C1042)</f>
        <v>0</v>
      </c>
      <c r="O1042" s="1122">
        <f>+IF(OR($Q1042=Parametres!$G$2,$Q1042=Parametres!$G$3),J1042,D1042)</f>
        <v>0</v>
      </c>
      <c r="P1042" s="155">
        <f>+IF(OR($Q1042=Parametres!$G$2,$Q1042=Parametres!$G$3),K1042,E1042)</f>
        <v>0</v>
      </c>
      <c r="Q1042" s="154">
        <f t="shared" si="82"/>
        <v>0</v>
      </c>
      <c r="R1042" s="153">
        <f t="shared" si="83"/>
        <v>0</v>
      </c>
      <c r="S1042" s="154">
        <f t="shared" si="84"/>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hidden="1" customHeight="1">
      <c r="A1043" s="157"/>
      <c r="B1043" s="158"/>
      <c r="C1043" s="159"/>
      <c r="D1043" s="157"/>
      <c r="E1043" s="157"/>
      <c r="F1043" s="157"/>
      <c r="G1043" s="157"/>
      <c r="H1043" s="157"/>
      <c r="I1043" s="157"/>
      <c r="J1043" s="157"/>
      <c r="K1043" s="157"/>
      <c r="L1043" s="153">
        <f t="shared" si="80"/>
        <v>0</v>
      </c>
      <c r="M1043" s="154">
        <f t="shared" si="81"/>
        <v>0</v>
      </c>
      <c r="N1043" s="155">
        <f>+IF(OR($Q1043=Parametres!$G$2,$Q1043=Parametres!$G$3),I1043,C1043)</f>
        <v>0</v>
      </c>
      <c r="O1043" s="1122">
        <f>+IF(OR($Q1043=Parametres!$G$2,$Q1043=Parametres!$G$3),J1043,D1043)</f>
        <v>0</v>
      </c>
      <c r="P1043" s="155">
        <f>+IF(OR($Q1043=Parametres!$G$2,$Q1043=Parametres!$G$3),K1043,E1043)</f>
        <v>0</v>
      </c>
      <c r="Q1043" s="154">
        <f t="shared" si="82"/>
        <v>0</v>
      </c>
      <c r="R1043" s="153">
        <f t="shared" si="83"/>
        <v>0</v>
      </c>
      <c r="S1043" s="154">
        <f t="shared" si="84"/>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hidden="1" customHeight="1">
      <c r="A1044" s="157"/>
      <c r="B1044" s="158"/>
      <c r="C1044" s="159"/>
      <c r="D1044" s="157"/>
      <c r="E1044" s="157"/>
      <c r="F1044" s="157"/>
      <c r="G1044" s="157"/>
      <c r="H1044" s="157"/>
      <c r="I1044" s="157"/>
      <c r="J1044" s="157"/>
      <c r="K1044" s="157"/>
      <c r="L1044" s="153">
        <f t="shared" si="80"/>
        <v>0</v>
      </c>
      <c r="M1044" s="154">
        <f t="shared" si="81"/>
        <v>0</v>
      </c>
      <c r="N1044" s="155">
        <f>+IF(OR($Q1044=Parametres!$G$2,$Q1044=Parametres!$G$3),I1044,C1044)</f>
        <v>0</v>
      </c>
      <c r="O1044" s="1122">
        <f>+IF(OR($Q1044=Parametres!$G$2,$Q1044=Parametres!$G$3),J1044,D1044)</f>
        <v>0</v>
      </c>
      <c r="P1044" s="155">
        <f>+IF(OR($Q1044=Parametres!$G$2,$Q1044=Parametres!$G$3),K1044,E1044)</f>
        <v>0</v>
      </c>
      <c r="Q1044" s="154">
        <f t="shared" si="82"/>
        <v>0</v>
      </c>
      <c r="R1044" s="153">
        <f t="shared" si="83"/>
        <v>0</v>
      </c>
      <c r="S1044" s="154">
        <f t="shared" si="84"/>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hidden="1" customHeight="1">
      <c r="A1045" s="157"/>
      <c r="B1045" s="158"/>
      <c r="C1045" s="159"/>
      <c r="D1045" s="157"/>
      <c r="E1045" s="157"/>
      <c r="F1045" s="157"/>
      <c r="G1045" s="157"/>
      <c r="H1045" s="157"/>
      <c r="I1045" s="157"/>
      <c r="J1045" s="157"/>
      <c r="K1045" s="157"/>
      <c r="L1045" s="153">
        <f t="shared" si="80"/>
        <v>0</v>
      </c>
      <c r="M1045" s="154">
        <f t="shared" si="81"/>
        <v>0</v>
      </c>
      <c r="N1045" s="155">
        <f>+IF(OR($Q1045=Parametres!$G$2,$Q1045=Parametres!$G$3),I1045,C1045)</f>
        <v>0</v>
      </c>
      <c r="O1045" s="1122">
        <f>+IF(OR($Q1045=Parametres!$G$2,$Q1045=Parametres!$G$3),J1045,D1045)</f>
        <v>0</v>
      </c>
      <c r="P1045" s="155">
        <f>+IF(OR($Q1045=Parametres!$G$2,$Q1045=Parametres!$G$3),K1045,E1045)</f>
        <v>0</v>
      </c>
      <c r="Q1045" s="154">
        <f t="shared" si="82"/>
        <v>0</v>
      </c>
      <c r="R1045" s="153">
        <f t="shared" si="83"/>
        <v>0</v>
      </c>
      <c r="S1045" s="154">
        <f t="shared" si="84"/>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hidden="1" customHeight="1">
      <c r="A1046" s="157"/>
      <c r="B1046" s="158"/>
      <c r="C1046" s="159"/>
      <c r="D1046" s="157"/>
      <c r="E1046" s="157"/>
      <c r="F1046" s="157"/>
      <c r="G1046" s="157"/>
      <c r="H1046" s="157"/>
      <c r="I1046" s="157"/>
      <c r="J1046" s="157"/>
      <c r="K1046" s="157"/>
      <c r="L1046" s="153">
        <f t="shared" si="80"/>
        <v>0</v>
      </c>
      <c r="M1046" s="154">
        <f t="shared" si="81"/>
        <v>0</v>
      </c>
      <c r="N1046" s="155">
        <f>+IF(OR($Q1046=Parametres!$G$2,$Q1046=Parametres!$G$3),I1046,C1046)</f>
        <v>0</v>
      </c>
      <c r="O1046" s="1122">
        <f>+IF(OR($Q1046=Parametres!$G$2,$Q1046=Parametres!$G$3),J1046,D1046)</f>
        <v>0</v>
      </c>
      <c r="P1046" s="155">
        <f>+IF(OR($Q1046=Parametres!$G$2,$Q1046=Parametres!$G$3),K1046,E1046)</f>
        <v>0</v>
      </c>
      <c r="Q1046" s="154">
        <f t="shared" si="82"/>
        <v>0</v>
      </c>
      <c r="R1046" s="153">
        <f t="shared" si="83"/>
        <v>0</v>
      </c>
      <c r="S1046" s="154">
        <f t="shared" si="84"/>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hidden="1" customHeight="1">
      <c r="A1047" s="157"/>
      <c r="B1047" s="158"/>
      <c r="C1047" s="159"/>
      <c r="D1047" s="157"/>
      <c r="E1047" s="157"/>
      <c r="F1047" s="157"/>
      <c r="G1047" s="157"/>
      <c r="H1047" s="157"/>
      <c r="I1047" s="157"/>
      <c r="J1047" s="157"/>
      <c r="K1047" s="157"/>
      <c r="L1047" s="153">
        <f t="shared" si="80"/>
        <v>0</v>
      </c>
      <c r="M1047" s="154">
        <f t="shared" si="81"/>
        <v>0</v>
      </c>
      <c r="N1047" s="155">
        <f>+IF(OR($Q1047=Parametres!$G$2,$Q1047=Parametres!$G$3),I1047,C1047)</f>
        <v>0</v>
      </c>
      <c r="O1047" s="1122">
        <f>+IF(OR($Q1047=Parametres!$G$2,$Q1047=Parametres!$G$3),J1047,D1047)</f>
        <v>0</v>
      </c>
      <c r="P1047" s="155">
        <f>+IF(OR($Q1047=Parametres!$G$2,$Q1047=Parametres!$G$3),K1047,E1047)</f>
        <v>0</v>
      </c>
      <c r="Q1047" s="154">
        <f t="shared" si="82"/>
        <v>0</v>
      </c>
      <c r="R1047" s="153">
        <f t="shared" si="83"/>
        <v>0</v>
      </c>
      <c r="S1047" s="154">
        <f t="shared" si="84"/>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hidden="1" customHeight="1">
      <c r="A1048" s="157"/>
      <c r="B1048" s="158"/>
      <c r="C1048" s="159"/>
      <c r="D1048" s="157"/>
      <c r="E1048" s="157"/>
      <c r="F1048" s="157"/>
      <c r="G1048" s="157"/>
      <c r="H1048" s="157"/>
      <c r="I1048" s="157"/>
      <c r="J1048" s="157"/>
      <c r="K1048" s="157"/>
      <c r="L1048" s="153">
        <f t="shared" si="80"/>
        <v>0</v>
      </c>
      <c r="M1048" s="154">
        <f t="shared" si="81"/>
        <v>0</v>
      </c>
      <c r="N1048" s="155">
        <f>+IF(OR($Q1048=Parametres!$G$2,$Q1048=Parametres!$G$3),I1048,C1048)</f>
        <v>0</v>
      </c>
      <c r="O1048" s="1122">
        <f>+IF(OR($Q1048=Parametres!$G$2,$Q1048=Parametres!$G$3),J1048,D1048)</f>
        <v>0</v>
      </c>
      <c r="P1048" s="155">
        <f>+IF(OR($Q1048=Parametres!$G$2,$Q1048=Parametres!$G$3),K1048,E1048)</f>
        <v>0</v>
      </c>
      <c r="Q1048" s="154">
        <f t="shared" si="82"/>
        <v>0</v>
      </c>
      <c r="R1048" s="153">
        <f t="shared" si="83"/>
        <v>0</v>
      </c>
      <c r="S1048" s="154">
        <f t="shared" si="84"/>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hidden="1" customHeight="1">
      <c r="A1049" s="157"/>
      <c r="B1049" s="158"/>
      <c r="C1049" s="159"/>
      <c r="D1049" s="157"/>
      <c r="E1049" s="157"/>
      <c r="F1049" s="157"/>
      <c r="G1049" s="157"/>
      <c r="H1049" s="157"/>
      <c r="I1049" s="157"/>
      <c r="J1049" s="157"/>
      <c r="K1049" s="157"/>
      <c r="L1049" s="153">
        <f t="shared" si="80"/>
        <v>0</v>
      </c>
      <c r="M1049" s="154">
        <f t="shared" si="81"/>
        <v>0</v>
      </c>
      <c r="N1049" s="155">
        <f>+IF(OR($Q1049=Parametres!$G$2,$Q1049=Parametres!$G$3),I1049,C1049)</f>
        <v>0</v>
      </c>
      <c r="O1049" s="1122">
        <f>+IF(OR($Q1049=Parametres!$G$2,$Q1049=Parametres!$G$3),J1049,D1049)</f>
        <v>0</v>
      </c>
      <c r="P1049" s="155">
        <f>+IF(OR($Q1049=Parametres!$G$2,$Q1049=Parametres!$G$3),K1049,E1049)</f>
        <v>0</v>
      </c>
      <c r="Q1049" s="154">
        <f t="shared" si="82"/>
        <v>0</v>
      </c>
      <c r="R1049" s="153">
        <f t="shared" si="83"/>
        <v>0</v>
      </c>
      <c r="S1049" s="154">
        <f t="shared" si="84"/>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hidden="1" customHeight="1">
      <c r="A1050" s="157"/>
      <c r="B1050" s="158"/>
      <c r="C1050" s="159"/>
      <c r="D1050" s="157"/>
      <c r="E1050" s="157"/>
      <c r="F1050" s="157"/>
      <c r="G1050" s="157"/>
      <c r="H1050" s="157"/>
      <c r="I1050" s="157"/>
      <c r="J1050" s="157"/>
      <c r="K1050" s="157"/>
      <c r="L1050" s="153">
        <f t="shared" si="80"/>
        <v>0</v>
      </c>
      <c r="M1050" s="154">
        <f t="shared" si="81"/>
        <v>0</v>
      </c>
      <c r="N1050" s="155">
        <f>+IF(OR($Q1050=Parametres!$G$2,$Q1050=Parametres!$G$3),I1050,C1050)</f>
        <v>0</v>
      </c>
      <c r="O1050" s="1122">
        <f>+IF(OR($Q1050=Parametres!$G$2,$Q1050=Parametres!$G$3),J1050,D1050)</f>
        <v>0</v>
      </c>
      <c r="P1050" s="155">
        <f>+IF(OR($Q1050=Parametres!$G$2,$Q1050=Parametres!$G$3),K1050,E1050)</f>
        <v>0</v>
      </c>
      <c r="Q1050" s="154">
        <f t="shared" si="82"/>
        <v>0</v>
      </c>
      <c r="R1050" s="153">
        <f t="shared" si="83"/>
        <v>0</v>
      </c>
      <c r="S1050" s="154">
        <f t="shared" si="84"/>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hidden="1" customHeight="1">
      <c r="A1051" s="157"/>
      <c r="B1051" s="158"/>
      <c r="C1051" s="159"/>
      <c r="D1051" s="157"/>
      <c r="E1051" s="157"/>
      <c r="F1051" s="157"/>
      <c r="G1051" s="157"/>
      <c r="H1051" s="157"/>
      <c r="I1051" s="157"/>
      <c r="J1051" s="157"/>
      <c r="K1051" s="157"/>
      <c r="L1051" s="153">
        <f t="shared" si="80"/>
        <v>0</v>
      </c>
      <c r="M1051" s="154">
        <f t="shared" si="81"/>
        <v>0</v>
      </c>
      <c r="N1051" s="155">
        <f>+IF(OR($Q1051=Parametres!$G$2,$Q1051=Parametres!$G$3),I1051,C1051)</f>
        <v>0</v>
      </c>
      <c r="O1051" s="1122">
        <f>+IF(OR($Q1051=Parametres!$G$2,$Q1051=Parametres!$G$3),J1051,D1051)</f>
        <v>0</v>
      </c>
      <c r="P1051" s="155">
        <f>+IF(OR($Q1051=Parametres!$G$2,$Q1051=Parametres!$G$3),K1051,E1051)</f>
        <v>0</v>
      </c>
      <c r="Q1051" s="154">
        <f t="shared" si="82"/>
        <v>0</v>
      </c>
      <c r="R1051" s="153">
        <f t="shared" si="83"/>
        <v>0</v>
      </c>
      <c r="S1051" s="154">
        <f t="shared" si="84"/>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hidden="1" customHeight="1">
      <c r="A1052" s="157"/>
      <c r="B1052" s="158"/>
      <c r="C1052" s="159"/>
      <c r="D1052" s="157"/>
      <c r="E1052" s="157"/>
      <c r="F1052" s="157"/>
      <c r="G1052" s="157"/>
      <c r="H1052" s="157"/>
      <c r="I1052" s="157"/>
      <c r="J1052" s="157"/>
      <c r="K1052" s="157"/>
      <c r="L1052" s="153">
        <f t="shared" si="80"/>
        <v>0</v>
      </c>
      <c r="M1052" s="154">
        <f t="shared" si="81"/>
        <v>0</v>
      </c>
      <c r="N1052" s="155">
        <f>+IF(OR($Q1052=Parametres!$G$2,$Q1052=Parametres!$G$3),I1052,C1052)</f>
        <v>0</v>
      </c>
      <c r="O1052" s="1122">
        <f>+IF(OR($Q1052=Parametres!$G$2,$Q1052=Parametres!$G$3),J1052,D1052)</f>
        <v>0</v>
      </c>
      <c r="P1052" s="155">
        <f>+IF(OR($Q1052=Parametres!$G$2,$Q1052=Parametres!$G$3),K1052,E1052)</f>
        <v>0</v>
      </c>
      <c r="Q1052" s="154">
        <f t="shared" si="82"/>
        <v>0</v>
      </c>
      <c r="R1052" s="153">
        <f t="shared" si="83"/>
        <v>0</v>
      </c>
      <c r="S1052" s="154">
        <f t="shared" si="84"/>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hidden="1" customHeight="1">
      <c r="A1053" s="157"/>
      <c r="B1053" s="158"/>
      <c r="C1053" s="159"/>
      <c r="D1053" s="157"/>
      <c r="E1053" s="157"/>
      <c r="F1053" s="157"/>
      <c r="G1053" s="157"/>
      <c r="H1053" s="157"/>
      <c r="I1053" s="157"/>
      <c r="J1053" s="157"/>
      <c r="K1053" s="157"/>
      <c r="L1053" s="153">
        <f t="shared" si="80"/>
        <v>0</v>
      </c>
      <c r="M1053" s="154">
        <f t="shared" si="81"/>
        <v>0</v>
      </c>
      <c r="N1053" s="155">
        <f>+IF(OR($Q1053=Parametres!$G$2,$Q1053=Parametres!$G$3),I1053,C1053)</f>
        <v>0</v>
      </c>
      <c r="O1053" s="1122">
        <f>+IF(OR($Q1053=Parametres!$G$2,$Q1053=Parametres!$G$3),J1053,D1053)</f>
        <v>0</v>
      </c>
      <c r="P1053" s="155">
        <f>+IF(OR($Q1053=Parametres!$G$2,$Q1053=Parametres!$G$3),K1053,E1053)</f>
        <v>0</v>
      </c>
      <c r="Q1053" s="154">
        <f t="shared" si="82"/>
        <v>0</v>
      </c>
      <c r="R1053" s="153">
        <f t="shared" si="83"/>
        <v>0</v>
      </c>
      <c r="S1053" s="154">
        <f t="shared" si="84"/>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hidden="1" customHeight="1">
      <c r="A1054" s="157"/>
      <c r="B1054" s="158"/>
      <c r="C1054" s="159"/>
      <c r="D1054" s="157"/>
      <c r="E1054" s="157"/>
      <c r="F1054" s="157"/>
      <c r="G1054" s="157"/>
      <c r="H1054" s="157"/>
      <c r="I1054" s="157"/>
      <c r="J1054" s="157"/>
      <c r="K1054" s="157"/>
      <c r="L1054" s="153">
        <f t="shared" si="80"/>
        <v>0</v>
      </c>
      <c r="M1054" s="154">
        <f t="shared" si="81"/>
        <v>0</v>
      </c>
      <c r="N1054" s="155">
        <f>+IF(OR($Q1054=Parametres!$G$2,$Q1054=Parametres!$G$3),I1054,C1054)</f>
        <v>0</v>
      </c>
      <c r="O1054" s="1122">
        <f>+IF(OR($Q1054=Parametres!$G$2,$Q1054=Parametres!$G$3),J1054,D1054)</f>
        <v>0</v>
      </c>
      <c r="P1054" s="155">
        <f>+IF(OR($Q1054=Parametres!$G$2,$Q1054=Parametres!$G$3),K1054,E1054)</f>
        <v>0</v>
      </c>
      <c r="Q1054" s="154">
        <f t="shared" si="82"/>
        <v>0</v>
      </c>
      <c r="R1054" s="153">
        <f t="shared" si="83"/>
        <v>0</v>
      </c>
      <c r="S1054" s="154">
        <f t="shared" si="84"/>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row r="1056" spans="1:24" ht="15" customHeight="1">
      <c r="N1056" t="s">
        <v>2946</v>
      </c>
      <c r="O1056" s="1125">
        <f>O181</f>
        <v>-7</v>
      </c>
      <c r="P1056" s="1144">
        <f>O252</f>
        <v>177002.49</v>
      </c>
    </row>
    <row r="1057" spans="14:16" ht="15" customHeight="1">
      <c r="N1057" t="s">
        <v>2952</v>
      </c>
      <c r="O1057" s="1125">
        <f>O183</f>
        <v>-14</v>
      </c>
      <c r="P1057" s="1144">
        <f>O253</f>
        <v>414741.54</v>
      </c>
    </row>
    <row r="1058" spans="14:16" ht="15" customHeight="1">
      <c r="N1058" t="s">
        <v>2953</v>
      </c>
      <c r="O1058" s="1125">
        <f>O185</f>
        <v>-2</v>
      </c>
      <c r="P1058" s="1144">
        <f>O254</f>
        <v>0</v>
      </c>
    </row>
    <row r="1059" spans="14:16" ht="15" customHeight="1">
      <c r="N1059" t="s">
        <v>2954</v>
      </c>
      <c r="O1059" s="1125">
        <f>O189</f>
        <v>0</v>
      </c>
    </row>
  </sheetData>
  <autoFilter ref="A1:X1054" xr:uid="{00000000-0009-0000-0000-000007000000}">
    <filterColumn colId="21">
      <filters>
        <filter val="Programme neuf 1"/>
      </filters>
    </filterColumn>
  </autoFilter>
  <dataValidations count="1">
    <dataValidation type="list" allowBlank="1" showErrorMessage="1" sqref="U1" xr:uid="{00000000-0002-0000-0700-000000000000}">
      <formula1>$D$1:$D$26</formula1>
    </dataValidation>
  </dataValidations>
  <pageMargins left="0.7" right="0.7" top="0.75" bottom="0.75" header="0" footer="0"/>
  <pageSetup scale="63"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B050"/>
    <outlinePr summaryBelow="0"/>
  </sheetPr>
  <dimension ref="A1:X1055"/>
  <sheetViews>
    <sheetView workbookViewId="0">
      <pane ySplit="1" topLeftCell="A2" activePane="bottomLeft" state="frozen"/>
      <selection pane="bottomLeft" activeCell="F112" sqref="F112"/>
    </sheetView>
  </sheetViews>
  <sheetFormatPr baseColWidth="10" defaultColWidth="12.625" defaultRowHeight="15" customHeight="1"/>
  <cols>
    <col min="1" max="1" width="29.25" style="949" customWidth="1"/>
    <col min="2" max="2" width="31.25" style="949" customWidth="1"/>
    <col min="3" max="3" width="14.625" style="949" customWidth="1"/>
    <col min="4" max="11" width="12.875" style="949"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44" t="s">
        <v>265</v>
      </c>
      <c r="B1" s="944" t="s">
        <v>266</v>
      </c>
      <c r="C1" s="945" t="s">
        <v>267</v>
      </c>
      <c r="D1" s="945" t="s">
        <v>268</v>
      </c>
      <c r="E1" s="945" t="s">
        <v>269</v>
      </c>
      <c r="F1" s="944" t="s">
        <v>270</v>
      </c>
      <c r="G1" s="944" t="s">
        <v>271</v>
      </c>
      <c r="H1" s="944" t="s">
        <v>272</v>
      </c>
      <c r="I1" s="945" t="s">
        <v>273</v>
      </c>
      <c r="J1" s="945" t="s">
        <v>274</v>
      </c>
      <c r="K1" s="945"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12" t="s">
        <v>2205</v>
      </c>
      <c r="B2" s="1012" t="s">
        <v>2206</v>
      </c>
      <c r="C2" s="1013"/>
      <c r="D2" s="1013"/>
      <c r="E2" s="1013"/>
      <c r="F2" s="1012" t="s">
        <v>1</v>
      </c>
      <c r="G2" s="1012" t="s">
        <v>2207</v>
      </c>
      <c r="H2" s="1013"/>
      <c r="I2" s="1014">
        <v>9933</v>
      </c>
      <c r="J2" s="1014">
        <v>0</v>
      </c>
      <c r="K2" s="1014">
        <v>9933</v>
      </c>
      <c r="L2" s="153" t="str">
        <f t="shared" ref="L2:L256" si="0">+B2</f>
        <v>10</v>
      </c>
      <c r="M2" s="154" t="str">
        <f t="shared" ref="M2:M256" si="1">+A2</f>
        <v>PROFIT/PERTES JANVIER</v>
      </c>
      <c r="N2" s="155">
        <f>+IF(OR($Q2=Parametres!$G$2,$Q2=Parametres!$G$3),I2,C2)</f>
        <v>9933</v>
      </c>
      <c r="O2" s="155">
        <f>+IF(OR($Q2=Parametres!$G$2,$Q2=Parametres!$G$3),J2,D2)</f>
        <v>0</v>
      </c>
      <c r="P2" s="155">
        <f>+IF(OR($Q2=Parametres!$G$2,$Q2=Parametres!$G$3),K2,E2)</f>
        <v>9933</v>
      </c>
      <c r="Q2" s="154" t="str">
        <f t="shared" ref="Q2:S17" si="2">+F2</f>
        <v>1-Mémo</v>
      </c>
      <c r="R2" s="153" t="str">
        <f t="shared" si="2"/>
        <v>1</v>
      </c>
      <c r="S2" s="154">
        <f t="shared" si="2"/>
        <v>0</v>
      </c>
      <c r="T2" s="156" t="str">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12" t="s">
        <v>2208</v>
      </c>
      <c r="B3" s="1012" t="s">
        <v>2209</v>
      </c>
      <c r="C3" s="1013"/>
      <c r="D3" s="1013"/>
      <c r="E3" s="1013"/>
      <c r="F3" s="1012" t="s">
        <v>1</v>
      </c>
      <c r="G3" s="1012" t="s">
        <v>2207</v>
      </c>
      <c r="H3" s="1013"/>
      <c r="I3" s="1014">
        <v>-43919</v>
      </c>
      <c r="J3" s="1014">
        <v>0</v>
      </c>
      <c r="K3" s="1014">
        <v>-43919</v>
      </c>
      <c r="L3" s="153" t="str">
        <f t="shared" si="0"/>
        <v>20</v>
      </c>
      <c r="M3" s="154" t="str">
        <f t="shared" si="1"/>
        <v>PROFIT/PERTES FEVRIER</v>
      </c>
      <c r="N3" s="155">
        <f>+IF(OR($Q3=Parametres!$G$2,$Q3=Parametres!$G$3),I3,C3)</f>
        <v>-43919</v>
      </c>
      <c r="O3" s="575">
        <f>+IF(OR($Q3=Parametres!$G$2,$Q3=Parametres!$G$3),J3,D3)</f>
        <v>0</v>
      </c>
      <c r="P3" s="155">
        <f>+IF(OR($Q3=Parametres!$G$2,$Q3=Parametres!$G$3),K3,E3)</f>
        <v>-43919</v>
      </c>
      <c r="Q3" s="154" t="str">
        <f t="shared" si="2"/>
        <v>1-Mémo</v>
      </c>
      <c r="R3" s="153" t="str">
        <f t="shared" si="2"/>
        <v>1</v>
      </c>
      <c r="S3" s="154">
        <f t="shared" si="2"/>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12" t="s">
        <v>2210</v>
      </c>
      <c r="B4" s="1012" t="s">
        <v>2211</v>
      </c>
      <c r="C4" s="1013"/>
      <c r="D4" s="1013"/>
      <c r="E4" s="1013"/>
      <c r="F4" s="1012" t="s">
        <v>1</v>
      </c>
      <c r="G4" s="1012" t="s">
        <v>2207</v>
      </c>
      <c r="H4" s="1013"/>
      <c r="I4" s="1014">
        <v>2859</v>
      </c>
      <c r="J4" s="1014">
        <v>0</v>
      </c>
      <c r="K4" s="1014">
        <v>2859</v>
      </c>
      <c r="L4" s="153" t="str">
        <f t="shared" si="0"/>
        <v>30</v>
      </c>
      <c r="M4" s="154" t="str">
        <f t="shared" si="1"/>
        <v>PROFIT/PERTES MARS</v>
      </c>
      <c r="N4" s="155">
        <f>+IF(OR($Q4=Parametres!$G$2,$Q4=Parametres!$G$3),I4,C4)</f>
        <v>2859</v>
      </c>
      <c r="O4" s="575">
        <f>+IF(OR($Q4=Parametres!$G$2,$Q4=Parametres!$G$3),J4,D4)</f>
        <v>0</v>
      </c>
      <c r="P4" s="155">
        <f>+IF(OR($Q4=Parametres!$G$2,$Q4=Parametres!$G$3),K4,E4)</f>
        <v>2859</v>
      </c>
      <c r="Q4" s="154" t="str">
        <f t="shared" si="2"/>
        <v>1-Mémo</v>
      </c>
      <c r="R4" s="153" t="str">
        <f t="shared" si="2"/>
        <v>1</v>
      </c>
      <c r="S4" s="154">
        <f t="shared" si="2"/>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012" t="s">
        <v>2212</v>
      </c>
      <c r="B5" s="1012" t="s">
        <v>2213</v>
      </c>
      <c r="C5" s="1013"/>
      <c r="D5" s="1013"/>
      <c r="E5" s="1013"/>
      <c r="F5" s="1012" t="s">
        <v>1</v>
      </c>
      <c r="G5" s="1012" t="s">
        <v>2207</v>
      </c>
      <c r="H5" s="1013"/>
      <c r="I5" s="1014">
        <v>102917</v>
      </c>
      <c r="J5" s="1014">
        <v>0</v>
      </c>
      <c r="K5" s="1014">
        <v>102917</v>
      </c>
      <c r="L5" s="153" t="str">
        <f t="shared" si="0"/>
        <v>40</v>
      </c>
      <c r="M5" s="154" t="str">
        <f t="shared" si="1"/>
        <v>PROFIT/PERTES AVRIL</v>
      </c>
      <c r="N5" s="155">
        <f>+IF(OR($Q5=Parametres!$G$2,$Q5=Parametres!$G$3),I5,C5)</f>
        <v>102917</v>
      </c>
      <c r="O5" s="575">
        <f>+IF(OR($Q5=Parametres!$G$2,$Q5=Parametres!$G$3),J5,D5)</f>
        <v>0</v>
      </c>
      <c r="P5" s="155">
        <f>+IF(OR($Q5=Parametres!$G$2,$Q5=Parametres!$G$3),K5,E5)</f>
        <v>102917</v>
      </c>
      <c r="Q5" s="154" t="str">
        <f t="shared" si="2"/>
        <v>1-Mémo</v>
      </c>
      <c r="R5" s="153" t="str">
        <f t="shared" si="2"/>
        <v>1</v>
      </c>
      <c r="S5" s="154">
        <f t="shared" si="2"/>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012" t="s">
        <v>2214</v>
      </c>
      <c r="B6" s="1012" t="s">
        <v>2215</v>
      </c>
      <c r="C6" s="1013"/>
      <c r="D6" s="1013"/>
      <c r="E6" s="1013"/>
      <c r="F6" s="1012" t="s">
        <v>1</v>
      </c>
      <c r="G6" s="1012" t="s">
        <v>2207</v>
      </c>
      <c r="H6" s="1013"/>
      <c r="I6" s="1014">
        <v>64309</v>
      </c>
      <c r="J6" s="1014">
        <v>0</v>
      </c>
      <c r="K6" s="1014">
        <v>64309</v>
      </c>
      <c r="L6" s="153" t="str">
        <f t="shared" si="0"/>
        <v>50</v>
      </c>
      <c r="M6" s="154" t="str">
        <f t="shared" si="1"/>
        <v>PROFIT/PERTES MAI</v>
      </c>
      <c r="N6" s="155">
        <f>+IF(OR($Q6=Parametres!$G$2,$Q6=Parametres!$G$3),I6,C6)</f>
        <v>64309</v>
      </c>
      <c r="O6" s="155">
        <f>+IF(OR($Q6=Parametres!$G$2,$Q6=Parametres!$G$3),J6,D6)</f>
        <v>0</v>
      </c>
      <c r="P6" s="155">
        <f>+IF(OR($Q6=Parametres!$G$2,$Q6=Parametres!$G$3),K6,E6)</f>
        <v>64309</v>
      </c>
      <c r="Q6" s="154" t="str">
        <f t="shared" si="2"/>
        <v>1-Mémo</v>
      </c>
      <c r="R6" s="153" t="str">
        <f t="shared" si="2"/>
        <v>1</v>
      </c>
      <c r="S6" s="154">
        <f t="shared" si="2"/>
        <v>0</v>
      </c>
      <c r="T6" s="156" t="str">
        <f>+VLOOKUP($L6,Data_Validation!$A:$D,1,0)</f>
        <v>50</v>
      </c>
      <c r="U6" s="156">
        <f>+VLOOKUP($L6,Data_Validation!$A:$D,3,0)</f>
        <v>0</v>
      </c>
      <c r="V6" s="156">
        <f>+VLOOKUP($L6,Data_Validation!$A:$D,4,0)</f>
        <v>0</v>
      </c>
      <c r="W6" s="156">
        <f>+VLOOKUP($L6,Data_Validation!$A:$E,5,0)</f>
        <v>0</v>
      </c>
      <c r="X6" s="156">
        <f>+VLOOKUP($L6,Data_Validation!$A:$F,6,0)</f>
        <v>0</v>
      </c>
    </row>
    <row r="7" spans="1:24" ht="15" hidden="1" customHeight="1">
      <c r="A7" s="1012" t="s">
        <v>2216</v>
      </c>
      <c r="B7" s="1012" t="s">
        <v>2217</v>
      </c>
      <c r="C7" s="1013"/>
      <c r="D7" s="1013"/>
      <c r="E7" s="1013"/>
      <c r="F7" s="1012" t="s">
        <v>1</v>
      </c>
      <c r="G7" s="1012" t="s">
        <v>2207</v>
      </c>
      <c r="H7" s="1013"/>
      <c r="I7" s="1014">
        <v>18113</v>
      </c>
      <c r="J7" s="1014">
        <v>0</v>
      </c>
      <c r="K7" s="1014">
        <v>18113</v>
      </c>
      <c r="L7" s="153" t="str">
        <f t="shared" si="0"/>
        <v>60</v>
      </c>
      <c r="M7" s="154" t="str">
        <f t="shared" si="1"/>
        <v>PROFIT/PERTES JUIN</v>
      </c>
      <c r="N7" s="155">
        <f>+IF(OR($Q7=Parametres!$G$2,$Q7=Parametres!$G$3),I7,C7)</f>
        <v>18113</v>
      </c>
      <c r="O7" s="575">
        <f>+IF(OR($Q7=Parametres!$G$2,$Q7=Parametres!$G$3),J7,D7)</f>
        <v>0</v>
      </c>
      <c r="P7" s="155">
        <f>+IF(OR($Q7=Parametres!$G$2,$Q7=Parametres!$G$3),K7,E7)</f>
        <v>18113</v>
      </c>
      <c r="Q7" s="154" t="str">
        <f t="shared" si="2"/>
        <v>1-Mémo</v>
      </c>
      <c r="R7" s="153" t="str">
        <f t="shared" si="2"/>
        <v>1</v>
      </c>
      <c r="S7" s="154">
        <f t="shared" si="2"/>
        <v>0</v>
      </c>
      <c r="T7" s="156" t="str">
        <f>+VLOOKUP($L7,Data_Validation!$A:$D,1,0)</f>
        <v>60</v>
      </c>
      <c r="U7" s="156">
        <f>+VLOOKUP($L7,Data_Validation!$A:$D,3,0)</f>
        <v>0</v>
      </c>
      <c r="V7" s="156">
        <f>+VLOOKUP($L7,Data_Validation!$A:$D,4,0)</f>
        <v>0</v>
      </c>
      <c r="W7" s="156">
        <f>+VLOOKUP($L7,Data_Validation!$A:$E,5,0)</f>
        <v>0</v>
      </c>
      <c r="X7" s="156">
        <f>+VLOOKUP($L7,Data_Validation!$A:$F,6,0)</f>
        <v>0</v>
      </c>
    </row>
    <row r="8" spans="1:24" ht="15" hidden="1" customHeight="1">
      <c r="A8" s="1012" t="s">
        <v>2218</v>
      </c>
      <c r="B8" s="1012" t="s">
        <v>2219</v>
      </c>
      <c r="C8" s="1013"/>
      <c r="D8" s="1013"/>
      <c r="E8" s="1013"/>
      <c r="F8" s="1012" t="s">
        <v>1</v>
      </c>
      <c r="G8" s="1012" t="s">
        <v>2207</v>
      </c>
      <c r="H8" s="1013"/>
      <c r="I8" s="1014">
        <v>0</v>
      </c>
      <c r="J8" s="1014">
        <v>72753</v>
      </c>
      <c r="K8" s="1014">
        <v>72753</v>
      </c>
      <c r="L8" s="153" t="str">
        <f t="shared" si="0"/>
        <v>70</v>
      </c>
      <c r="M8" s="154" t="str">
        <f t="shared" si="1"/>
        <v>PROFIT/PERTES JUILLET</v>
      </c>
      <c r="N8" s="155">
        <f>+IF(OR($Q8=Parametres!$G$2,$Q8=Parametres!$G$3),I8,C8)</f>
        <v>0</v>
      </c>
      <c r="O8" s="575">
        <f>+IF(OR($Q8=Parametres!$G$2,$Q8=Parametres!$G$3),J8,D8)</f>
        <v>72753</v>
      </c>
      <c r="P8" s="155">
        <f>+IF(OR($Q8=Parametres!$G$2,$Q8=Parametres!$G$3),K8,E8)</f>
        <v>72753</v>
      </c>
      <c r="Q8" s="154" t="str">
        <f t="shared" si="2"/>
        <v>1-Mémo</v>
      </c>
      <c r="R8" s="153" t="str">
        <f t="shared" si="2"/>
        <v>1</v>
      </c>
      <c r="S8" s="154">
        <f t="shared" si="2"/>
        <v>0</v>
      </c>
      <c r="T8" s="156" t="str">
        <f>+VLOOKUP($L8,Data_Validation!$A:$D,1,0)</f>
        <v>70</v>
      </c>
      <c r="U8" s="156">
        <f>+VLOOKUP($L8,Data_Validation!$A:$D,3,0)</f>
        <v>0</v>
      </c>
      <c r="V8" s="156">
        <f>+VLOOKUP($L8,Data_Validation!$A:$D,4,0)</f>
        <v>0</v>
      </c>
      <c r="W8" s="156">
        <f>+VLOOKUP($L8,Data_Validation!$A:$E,5,0)</f>
        <v>0</v>
      </c>
      <c r="X8" s="156">
        <f>+VLOOKUP($L8,Data_Validation!$A:$F,6,0)</f>
        <v>0</v>
      </c>
    </row>
    <row r="9" spans="1:24" ht="15" hidden="1" customHeight="1">
      <c r="A9" s="1012" t="s">
        <v>2228</v>
      </c>
      <c r="B9" s="1012" t="s">
        <v>2229</v>
      </c>
      <c r="C9" s="1013"/>
      <c r="D9" s="1013"/>
      <c r="E9" s="1013"/>
      <c r="F9" s="1012" t="s">
        <v>1</v>
      </c>
      <c r="G9" s="1012" t="s">
        <v>2230</v>
      </c>
      <c r="H9" s="1013"/>
      <c r="I9" s="1014">
        <v>17.05</v>
      </c>
      <c r="J9" s="1014">
        <v>6.21</v>
      </c>
      <c r="K9" s="1014">
        <v>23.26</v>
      </c>
      <c r="L9" s="153" t="str">
        <f t="shared" si="0"/>
        <v>229</v>
      </c>
      <c r="M9" s="154" t="str">
        <f t="shared" si="1"/>
        <v>CUMUL. VIS. CARR. VW</v>
      </c>
      <c r="N9" s="155">
        <f>+IF(OR($Q9=Parametres!$G$2,$Q9=Parametres!$G$3),I9,C9)</f>
        <v>17.05</v>
      </c>
      <c r="O9" s="575">
        <f>+IF(OR($Q9=Parametres!$G$2,$Q9=Parametres!$G$3),J9,D9)</f>
        <v>6.21</v>
      </c>
      <c r="P9" s="155">
        <f>+IF(OR($Q9=Parametres!$G$2,$Q9=Parametres!$G$3),K9,E9)</f>
        <v>23.26</v>
      </c>
      <c r="Q9" s="154" t="str">
        <f t="shared" si="2"/>
        <v>1-Mémo</v>
      </c>
      <c r="R9" s="153" t="str">
        <f t="shared" si="2"/>
        <v>23</v>
      </c>
      <c r="S9" s="154">
        <f t="shared" si="2"/>
        <v>0</v>
      </c>
      <c r="T9" s="156" t="str">
        <f>+VLOOKUP($L9,Data_Validation!$A:$D,1,0)</f>
        <v>229</v>
      </c>
      <c r="U9" s="156">
        <f>+VLOOKUP($L9,Data_Validation!$A:$D,3,0)</f>
        <v>0</v>
      </c>
      <c r="V9" s="156">
        <f>+VLOOKUP($L9,Data_Validation!$A:$D,4,0)</f>
        <v>0</v>
      </c>
      <c r="W9" s="156">
        <f>+VLOOKUP($L9,Data_Validation!$A:$E,5,0)</f>
        <v>0</v>
      </c>
      <c r="X9" s="156">
        <f>+VLOOKUP($L9,Data_Validation!$A:$F,6,0)</f>
        <v>0</v>
      </c>
    </row>
    <row r="10" spans="1:24" ht="15" hidden="1" customHeight="1">
      <c r="A10" s="1012" t="s">
        <v>2231</v>
      </c>
      <c r="B10" s="1012" t="s">
        <v>2232</v>
      </c>
      <c r="C10" s="1013"/>
      <c r="D10" s="1013"/>
      <c r="E10" s="1013"/>
      <c r="F10" s="1012" t="s">
        <v>1</v>
      </c>
      <c r="G10" s="1012" t="s">
        <v>2230</v>
      </c>
      <c r="H10" s="1013"/>
      <c r="I10" s="1014">
        <v>196.37</v>
      </c>
      <c r="J10" s="1014">
        <v>70.790000000000006</v>
      </c>
      <c r="K10" s="1014">
        <v>267.16000000000003</v>
      </c>
      <c r="L10" s="153" t="str">
        <f t="shared" si="0"/>
        <v>230</v>
      </c>
      <c r="M10" s="154" t="str">
        <f t="shared" si="1"/>
        <v>CUMUL. VIS. VEH. SERV. VW</v>
      </c>
      <c r="N10" s="155">
        <f>+IF(OR($Q10=Parametres!$G$2,$Q10=Parametres!$G$3),I10,C10)</f>
        <v>196.37</v>
      </c>
      <c r="O10" s="576">
        <f>+IF(OR($Q10=Parametres!$G$2,$Q10=Parametres!$G$3),J10,D10)</f>
        <v>70.790000000000006</v>
      </c>
      <c r="P10" s="155">
        <f>+IF(OR($Q10=Parametres!$G$2,$Q10=Parametres!$G$3),K10,E10)</f>
        <v>267.16000000000003</v>
      </c>
      <c r="Q10" s="154" t="str">
        <f t="shared" si="2"/>
        <v>1-Mémo</v>
      </c>
      <c r="R10" s="153" t="str">
        <f t="shared" si="2"/>
        <v>23</v>
      </c>
      <c r="S10" s="154">
        <f t="shared" si="2"/>
        <v>0</v>
      </c>
      <c r="T10" s="156" t="str">
        <f>+VLOOKUP($L10,Data_Validation!$A:$D,1,0)</f>
        <v>230</v>
      </c>
      <c r="U10" s="156">
        <f>+VLOOKUP($L10,Data_Validation!$A:$D,3,0)</f>
        <v>0</v>
      </c>
      <c r="V10" s="156">
        <f>+VLOOKUP($L10,Data_Validation!$A:$D,4,0)</f>
        <v>0</v>
      </c>
      <c r="W10" s="156" t="str">
        <f>+VLOOKUP($L10,Data_Validation!$A:$E,5,0)</f>
        <v>$</v>
      </c>
      <c r="X10" s="156">
        <f>+VLOOKUP($L10,Data_Validation!$A:$F,6,0)</f>
        <v>0</v>
      </c>
    </row>
    <row r="11" spans="1:24" ht="15" hidden="1" customHeight="1">
      <c r="A11" s="1012" t="s">
        <v>2233</v>
      </c>
      <c r="B11" s="1012" t="s">
        <v>2234</v>
      </c>
      <c r="C11" s="1013"/>
      <c r="D11" s="1013"/>
      <c r="E11" s="1013"/>
      <c r="F11" s="1012" t="s">
        <v>1</v>
      </c>
      <c r="G11" s="1012" t="s">
        <v>2230</v>
      </c>
      <c r="H11" s="1013"/>
      <c r="I11" s="1014">
        <v>137.19999999999999</v>
      </c>
      <c r="J11" s="1014">
        <v>23.46</v>
      </c>
      <c r="K11" s="1014">
        <v>160.66</v>
      </c>
      <c r="L11" s="153" t="str">
        <f t="shared" si="0"/>
        <v>234</v>
      </c>
      <c r="M11" s="154" t="str">
        <f t="shared" si="1"/>
        <v>TOTAL HRES PROD. SERVICE</v>
      </c>
      <c r="N11" s="155">
        <f>+IF(OR($Q11=Parametres!$G$2,$Q11=Parametres!$G$3),I11,C11)</f>
        <v>137.19999999999999</v>
      </c>
      <c r="O11" s="155">
        <f>+IF(OR($Q11=Parametres!$G$2,$Q11=Parametres!$G$3),J11,D11)</f>
        <v>23.46</v>
      </c>
      <c r="P11" s="155">
        <f>+IF(OR($Q11=Parametres!$G$2,$Q11=Parametres!$G$3),K11,E11)</f>
        <v>160.66</v>
      </c>
      <c r="Q11" s="154" t="str">
        <f t="shared" si="2"/>
        <v>1-Mémo</v>
      </c>
      <c r="R11" s="153" t="str">
        <f t="shared" si="2"/>
        <v>23</v>
      </c>
      <c r="S11" s="154">
        <f t="shared" si="2"/>
        <v>0</v>
      </c>
      <c r="T11" s="156" t="str">
        <f>+VLOOKUP($L11,Data_Validation!$A:$D,1,0)</f>
        <v>234</v>
      </c>
      <c r="U11" s="156">
        <f>+VLOOKUP($L11,Data_Validation!$A:$D,3,0)</f>
        <v>0</v>
      </c>
      <c r="V11" s="156">
        <f>+VLOOKUP($L11,Data_Validation!$A:$D,4,0)</f>
        <v>0</v>
      </c>
      <c r="W11" s="156">
        <f>+VLOOKUP($L11,Data_Validation!$A:$E,5,0)</f>
        <v>0</v>
      </c>
      <c r="X11" s="156">
        <f>+VLOOKUP($L11,Data_Validation!$A:$F,6,0)</f>
        <v>0</v>
      </c>
    </row>
    <row r="12" spans="1:24" ht="15" hidden="1" customHeight="1">
      <c r="A12" s="1012" t="s">
        <v>2235</v>
      </c>
      <c r="B12" s="1012" t="s">
        <v>2236</v>
      </c>
      <c r="C12" s="1013"/>
      <c r="D12" s="1013"/>
      <c r="E12" s="1013"/>
      <c r="F12" s="1012" t="s">
        <v>1</v>
      </c>
      <c r="G12" s="1012" t="s">
        <v>2230</v>
      </c>
      <c r="H12" s="1013"/>
      <c r="I12" s="1014">
        <v>109.72</v>
      </c>
      <c r="J12" s="1014">
        <v>21.14</v>
      </c>
      <c r="K12" s="1014">
        <v>130.86000000000001</v>
      </c>
      <c r="L12" s="153" t="str">
        <f t="shared" si="0"/>
        <v>236</v>
      </c>
      <c r="M12" s="154" t="str">
        <f t="shared" si="1"/>
        <v>HEURES VENDU VW - SERVICE</v>
      </c>
      <c r="N12" s="155">
        <f>+IF(OR($Q12=Parametres!$G$2,$Q12=Parametres!$G$3),I12,C12)</f>
        <v>109.72</v>
      </c>
      <c r="O12" s="155">
        <f>+IF(OR($Q12=Parametres!$G$2,$Q12=Parametres!$G$3),J12,D12)</f>
        <v>21.14</v>
      </c>
      <c r="P12" s="155">
        <f>+IF(OR($Q12=Parametres!$G$2,$Q12=Parametres!$G$3),K12,E12)</f>
        <v>130.86000000000001</v>
      </c>
      <c r="Q12" s="154" t="str">
        <f t="shared" si="2"/>
        <v>1-Mémo</v>
      </c>
      <c r="R12" s="153" t="str">
        <f t="shared" si="2"/>
        <v>23</v>
      </c>
      <c r="S12" s="154">
        <f t="shared" si="2"/>
        <v>0</v>
      </c>
      <c r="T12" s="156" t="str">
        <f>+VLOOKUP($L12,Data_Validation!$A:$D,1,0)</f>
        <v>236</v>
      </c>
      <c r="U12" s="156">
        <f>+VLOOKUP($L12,Data_Validation!$A:$D,3,0)</f>
        <v>0</v>
      </c>
      <c r="V12" s="156">
        <f>+VLOOKUP($L12,Data_Validation!$A:$D,4,0)</f>
        <v>0</v>
      </c>
      <c r="W12" s="156">
        <f>+VLOOKUP($L12,Data_Validation!$A:$E,5,0)</f>
        <v>0</v>
      </c>
      <c r="X12" s="156">
        <f>+VLOOKUP($L12,Data_Validation!$A:$F,6,0)</f>
        <v>0</v>
      </c>
    </row>
    <row r="13" spans="1:24" ht="15" hidden="1" customHeight="1">
      <c r="A13" s="1012" t="s">
        <v>2237</v>
      </c>
      <c r="B13" s="1012" t="s">
        <v>2238</v>
      </c>
      <c r="C13" s="1013"/>
      <c r="D13" s="1013"/>
      <c r="E13" s="1013"/>
      <c r="F13" s="1012" t="s">
        <v>1</v>
      </c>
      <c r="G13" s="1012" t="s">
        <v>2230</v>
      </c>
      <c r="H13" s="1013"/>
      <c r="I13" s="1014">
        <v>158.24</v>
      </c>
      <c r="J13" s="1014">
        <v>27.6</v>
      </c>
      <c r="K13" s="1014">
        <v>185.84</v>
      </c>
      <c r="L13" s="153" t="str">
        <f t="shared" si="0"/>
        <v>238</v>
      </c>
      <c r="M13" s="154" t="str">
        <f t="shared" si="1"/>
        <v>TOT. HEURES DISP. SERVICE</v>
      </c>
      <c r="N13" s="155">
        <f>+IF(OR($Q13=Parametres!$G$2,$Q13=Parametres!$G$3),I13,C13)</f>
        <v>158.24</v>
      </c>
      <c r="O13" s="575">
        <f>+IF(OR($Q13=Parametres!$G$2,$Q13=Parametres!$G$3),J13,D13)</f>
        <v>27.6</v>
      </c>
      <c r="P13" s="155">
        <f>+IF(OR($Q13=Parametres!$G$2,$Q13=Parametres!$G$3),K13,E13)</f>
        <v>185.84</v>
      </c>
      <c r="Q13" s="154" t="str">
        <f t="shared" si="2"/>
        <v>1-Mémo</v>
      </c>
      <c r="R13" s="153" t="str">
        <f t="shared" si="2"/>
        <v>23</v>
      </c>
      <c r="S13" s="154">
        <f t="shared" si="2"/>
        <v>0</v>
      </c>
      <c r="T13" s="156" t="str">
        <f>+VLOOKUP($L13,Data_Validation!$A:$D,1,0)</f>
        <v>238</v>
      </c>
      <c r="U13" s="156">
        <f>+VLOOKUP($L13,Data_Validation!$A:$D,3,0)</f>
        <v>0</v>
      </c>
      <c r="V13" s="156">
        <f>+VLOOKUP($L13,Data_Validation!$A:$D,4,0)</f>
        <v>0</v>
      </c>
      <c r="W13" s="156">
        <f>+VLOOKUP($L13,Data_Validation!$A:$E,5,0)</f>
        <v>0</v>
      </c>
      <c r="X13" s="156">
        <f>+VLOOKUP($L13,Data_Validation!$A:$F,6,0)</f>
        <v>0</v>
      </c>
    </row>
    <row r="14" spans="1:24" ht="15" hidden="1" customHeight="1">
      <c r="A14" s="1012" t="s">
        <v>2239</v>
      </c>
      <c r="B14" s="1012" t="s">
        <v>2240</v>
      </c>
      <c r="C14" s="1013"/>
      <c r="D14" s="1013"/>
      <c r="E14" s="1013"/>
      <c r="F14" s="1012" t="s">
        <v>1</v>
      </c>
      <c r="G14" s="1012" t="s">
        <v>2241</v>
      </c>
      <c r="H14" s="1013"/>
      <c r="I14" s="1014">
        <v>125</v>
      </c>
      <c r="J14" s="1014">
        <v>0</v>
      </c>
      <c r="K14" s="1014">
        <v>125</v>
      </c>
      <c r="L14" s="153" t="str">
        <f t="shared" si="0"/>
        <v>243</v>
      </c>
      <c r="M14" s="154" t="str">
        <f t="shared" si="1"/>
        <v>TAUX M/O CLIENT VW</v>
      </c>
      <c r="N14" s="155">
        <f>+IF(OR($Q14=Parametres!$G$2,$Q14=Parametres!$G$3),I14,C14)</f>
        <v>125</v>
      </c>
      <c r="O14" s="575">
        <f>+IF(OR($Q14=Parametres!$G$2,$Q14=Parametres!$G$3),J14,D14)</f>
        <v>0</v>
      </c>
      <c r="P14" s="155">
        <f>+IF(OR($Q14=Parametres!$G$2,$Q14=Parametres!$G$3),K14,E14)</f>
        <v>125</v>
      </c>
      <c r="Q14" s="154" t="str">
        <f t="shared" si="2"/>
        <v>1-Mémo</v>
      </c>
      <c r="R14" s="153" t="str">
        <f t="shared" si="2"/>
        <v>24</v>
      </c>
      <c r="S14" s="154">
        <f t="shared" si="2"/>
        <v>0</v>
      </c>
      <c r="T14" s="156" t="str">
        <f>+VLOOKUP($L14,Data_Validation!$A:$D,1,0)</f>
        <v>243</v>
      </c>
      <c r="U14" s="156">
        <f>+VLOOKUP($L14,Data_Validation!$A:$D,3,0)</f>
        <v>0</v>
      </c>
      <c r="V14" s="156">
        <f>+VLOOKUP($L14,Data_Validation!$A:$D,4,0)</f>
        <v>0</v>
      </c>
      <c r="W14" s="156">
        <f>+VLOOKUP($L14,Data_Validation!$A:$E,5,0)</f>
        <v>0</v>
      </c>
      <c r="X14" s="156">
        <f>+VLOOKUP($L14,Data_Validation!$A:$F,6,0)</f>
        <v>0</v>
      </c>
    </row>
    <row r="15" spans="1:24" ht="15" hidden="1" customHeight="1">
      <c r="A15" s="1012" t="s">
        <v>2242</v>
      </c>
      <c r="B15" s="1012" t="s">
        <v>2243</v>
      </c>
      <c r="C15" s="1013"/>
      <c r="D15" s="1013"/>
      <c r="E15" s="1013"/>
      <c r="F15" s="1012" t="s">
        <v>1</v>
      </c>
      <c r="G15" s="1012" t="s">
        <v>2241</v>
      </c>
      <c r="H15" s="1013"/>
      <c r="I15" s="1014">
        <v>115.09</v>
      </c>
      <c r="J15" s="1014">
        <v>0</v>
      </c>
      <c r="K15" s="1014">
        <v>115.09</v>
      </c>
      <c r="L15" s="153" t="str">
        <f t="shared" si="0"/>
        <v>244</v>
      </c>
      <c r="M15" s="154" t="str">
        <f t="shared" si="1"/>
        <v>TAUX M/O GARANTIE VW</v>
      </c>
      <c r="N15" s="155">
        <f>+IF(OR($Q15=Parametres!$G$2,$Q15=Parametres!$G$3),I15,C15)</f>
        <v>115.09</v>
      </c>
      <c r="O15" s="575">
        <f>+IF(OR($Q15=Parametres!$G$2,$Q15=Parametres!$G$3),J15,D15)</f>
        <v>0</v>
      </c>
      <c r="P15" s="155">
        <f>+IF(OR($Q15=Parametres!$G$2,$Q15=Parametres!$G$3),K15,E15)</f>
        <v>115.09</v>
      </c>
      <c r="Q15" s="154" t="str">
        <f t="shared" si="2"/>
        <v>1-Mémo</v>
      </c>
      <c r="R15" s="153" t="str">
        <f t="shared" si="2"/>
        <v>24</v>
      </c>
      <c r="S15" s="154">
        <f t="shared" si="2"/>
        <v>0</v>
      </c>
      <c r="T15" s="156" t="str">
        <f>+VLOOKUP($L15,Data_Validation!$A:$D,1,0)</f>
        <v>244</v>
      </c>
      <c r="U15" s="156">
        <f>+VLOOKUP($L15,Data_Validation!$A:$D,3,0)</f>
        <v>0</v>
      </c>
      <c r="V15" s="156">
        <f>+VLOOKUP($L15,Data_Validation!$A:$D,4,0)</f>
        <v>0</v>
      </c>
      <c r="W15" s="156">
        <f>+VLOOKUP($L15,Data_Validation!$A:$E,5,0)</f>
        <v>0</v>
      </c>
      <c r="X15" s="156">
        <f>+VLOOKUP($L15,Data_Validation!$A:$F,6,0)</f>
        <v>0</v>
      </c>
    </row>
    <row r="16" spans="1:24" ht="15" hidden="1" customHeight="1">
      <c r="A16" s="1012" t="s">
        <v>2244</v>
      </c>
      <c r="B16" s="1012" t="s">
        <v>2245</v>
      </c>
      <c r="C16" s="1013"/>
      <c r="D16" s="1013"/>
      <c r="E16" s="1013"/>
      <c r="F16" s="1012" t="s">
        <v>1</v>
      </c>
      <c r="G16" s="1012" t="s">
        <v>2241</v>
      </c>
      <c r="H16" s="1013"/>
      <c r="I16" s="1014">
        <v>125</v>
      </c>
      <c r="J16" s="1014">
        <v>0</v>
      </c>
      <c r="K16" s="1014">
        <v>125</v>
      </c>
      <c r="L16" s="153" t="str">
        <f t="shared" si="0"/>
        <v>245</v>
      </c>
      <c r="M16" s="154" t="str">
        <f t="shared" si="1"/>
        <v>TAUX M/O INTERNE VW</v>
      </c>
      <c r="N16" s="155">
        <f>+IF(OR($Q16=Parametres!$G$2,$Q16=Parametres!$G$3),I16,C16)</f>
        <v>125</v>
      </c>
      <c r="O16" s="575">
        <f>+IF(OR($Q16=Parametres!$G$2,$Q16=Parametres!$G$3),J16,D16)</f>
        <v>0</v>
      </c>
      <c r="P16" s="155">
        <f>+IF(OR($Q16=Parametres!$G$2,$Q16=Parametres!$G$3),K16,E16)</f>
        <v>125</v>
      </c>
      <c r="Q16" s="154" t="str">
        <f t="shared" si="2"/>
        <v>1-Mémo</v>
      </c>
      <c r="R16" s="153" t="str">
        <f t="shared" si="2"/>
        <v>24</v>
      </c>
      <c r="S16" s="154">
        <f t="shared" si="2"/>
        <v>0</v>
      </c>
      <c r="T16" s="156" t="str">
        <f>+VLOOKUP($L16,Data_Validation!$A:$D,1,0)</f>
        <v>245</v>
      </c>
      <c r="U16" s="156">
        <f>+VLOOKUP($L16,Data_Validation!$A:$D,3,0)</f>
        <v>0</v>
      </c>
      <c r="V16" s="156">
        <f>+VLOOKUP($L16,Data_Validation!$A:$D,4,0)</f>
        <v>0</v>
      </c>
      <c r="W16" s="156">
        <f>+VLOOKUP($L16,Data_Validation!$A:$E,5,0)</f>
        <v>0</v>
      </c>
      <c r="X16" s="156">
        <f>+VLOOKUP($L16,Data_Validation!$A:$F,6,0)</f>
        <v>0</v>
      </c>
    </row>
    <row r="17" spans="1:24" ht="15" hidden="1" customHeight="1">
      <c r="A17" s="1012" t="s">
        <v>2246</v>
      </c>
      <c r="B17" s="1012" t="s">
        <v>2247</v>
      </c>
      <c r="C17" s="1013"/>
      <c r="D17" s="1013"/>
      <c r="E17" s="1013"/>
      <c r="F17" s="1012" t="s">
        <v>1</v>
      </c>
      <c r="G17" s="1012" t="s">
        <v>2241</v>
      </c>
      <c r="H17" s="1013"/>
      <c r="I17" s="1014">
        <v>60</v>
      </c>
      <c r="J17" s="1014">
        <v>0</v>
      </c>
      <c r="K17" s="1014">
        <v>60</v>
      </c>
      <c r="L17" s="153" t="str">
        <f t="shared" si="0"/>
        <v>246</v>
      </c>
      <c r="M17" s="154" t="str">
        <f t="shared" si="1"/>
        <v>TAUX M/O CARR. VW</v>
      </c>
      <c r="N17" s="155">
        <f>+IF(OR($Q17=Parametres!$G$2,$Q17=Parametres!$G$3),I17,C17)</f>
        <v>60</v>
      </c>
      <c r="O17" s="575">
        <f>+IF(OR($Q17=Parametres!$G$2,$Q17=Parametres!$G$3),J17,D17)</f>
        <v>0</v>
      </c>
      <c r="P17" s="155">
        <f>+IF(OR($Q17=Parametres!$G$2,$Q17=Parametres!$G$3),K17,E17)</f>
        <v>60</v>
      </c>
      <c r="Q17" s="154" t="str">
        <f t="shared" si="2"/>
        <v>1-Mémo</v>
      </c>
      <c r="R17" s="153" t="str">
        <f t="shared" si="2"/>
        <v>24</v>
      </c>
      <c r="S17" s="154">
        <f t="shared" si="2"/>
        <v>0</v>
      </c>
      <c r="T17" s="156" t="str">
        <f>+VLOOKUP($L17,Data_Validation!$A:$D,1,0)</f>
        <v>246</v>
      </c>
      <c r="U17" s="156">
        <f>+VLOOKUP($L17,Data_Validation!$A:$D,3,0)</f>
        <v>0</v>
      </c>
      <c r="V17" s="156">
        <f>+VLOOKUP($L17,Data_Validation!$A:$D,4,0)</f>
        <v>0</v>
      </c>
      <c r="W17" s="156">
        <f>+VLOOKUP($L17,Data_Validation!$A:$E,5,0)</f>
        <v>0</v>
      </c>
      <c r="X17" s="156">
        <f>+VLOOKUP($L17,Data_Validation!$A:$F,6,0)</f>
        <v>0</v>
      </c>
    </row>
    <row r="18" spans="1:24" ht="15" hidden="1" customHeight="1">
      <c r="A18" s="1012" t="s">
        <v>2248</v>
      </c>
      <c r="B18" s="1012" t="s">
        <v>2249</v>
      </c>
      <c r="C18" s="1013"/>
      <c r="D18" s="1013"/>
      <c r="E18" s="1013"/>
      <c r="F18" s="1012" t="s">
        <v>1</v>
      </c>
      <c r="G18" s="1012" t="s">
        <v>2249</v>
      </c>
      <c r="H18" s="1013"/>
      <c r="I18" s="1014">
        <v>0.08</v>
      </c>
      <c r="J18" s="1014">
        <v>0</v>
      </c>
      <c r="K18" s="1014">
        <v>0.08</v>
      </c>
      <c r="L18" s="153" t="str">
        <f t="shared" si="0"/>
        <v>255</v>
      </c>
      <c r="M18" s="154" t="str">
        <f t="shared" si="1"/>
        <v>BAIES TRAVAIL PRODUCTIVES - SERVICE VW</v>
      </c>
      <c r="N18" s="155">
        <f>+IF(OR($Q18=Parametres!$G$2,$Q18=Parametres!$G$3),I18,C18)</f>
        <v>0.08</v>
      </c>
      <c r="O18" s="155">
        <f>+IF(OR($Q18=Parametres!$G$2,$Q18=Parametres!$G$3),J18,D18)</f>
        <v>0</v>
      </c>
      <c r="P18" s="155">
        <f>+IF(OR($Q18=Parametres!$G$2,$Q18=Parametres!$G$3),K18,E18)</f>
        <v>0.08</v>
      </c>
      <c r="Q18" s="154" t="str">
        <f t="shared" ref="Q18:S33" si="3">+F18</f>
        <v>1-Mémo</v>
      </c>
      <c r="R18" s="153" t="str">
        <f t="shared" si="3"/>
        <v>255</v>
      </c>
      <c r="S18" s="154">
        <f t="shared" si="3"/>
        <v>0</v>
      </c>
      <c r="T18" s="156" t="str">
        <f>+VLOOKUP($L18,Data_Validation!$A:$D,1,0)</f>
        <v>255</v>
      </c>
      <c r="U18" s="156">
        <f>+VLOOKUP($L18,Data_Validation!$A:$D,3,0)</f>
        <v>0</v>
      </c>
      <c r="V18" s="156">
        <f>+VLOOKUP($L18,Data_Validation!$A:$D,4,0)</f>
        <v>0</v>
      </c>
      <c r="W18" s="156">
        <f>+VLOOKUP($L18,Data_Validation!$A:$E,5,0)</f>
        <v>0</v>
      </c>
      <c r="X18" s="156">
        <f>+VLOOKUP($L18,Data_Validation!$A:$F,6,0)</f>
        <v>0</v>
      </c>
    </row>
    <row r="19" spans="1:24" ht="15" hidden="1" customHeight="1">
      <c r="A19" s="1012" t="s">
        <v>2250</v>
      </c>
      <c r="B19" s="1012" t="s">
        <v>2251</v>
      </c>
      <c r="C19" s="1013"/>
      <c r="D19" s="1013"/>
      <c r="E19" s="1013"/>
      <c r="F19" s="1012" t="s">
        <v>1</v>
      </c>
      <c r="G19" s="1012" t="s">
        <v>2251</v>
      </c>
      <c r="H19" s="1013"/>
      <c r="I19" s="1014">
        <v>3729</v>
      </c>
      <c r="J19" s="1014">
        <v>678</v>
      </c>
      <c r="K19" s="1014">
        <v>4407</v>
      </c>
      <c r="L19" s="153" t="str">
        <f t="shared" si="0"/>
        <v>257</v>
      </c>
      <c r="M19" s="154" t="str">
        <f t="shared" si="1"/>
        <v>HEURES VENDUES - SERVICE - CLIENT VW</v>
      </c>
      <c r="N19" s="155">
        <f>+IF(OR($Q19=Parametres!$G$2,$Q19=Parametres!$G$3),I19,C19)</f>
        <v>3729</v>
      </c>
      <c r="O19" s="575">
        <f>+IF(OR($Q19=Parametres!$G$2,$Q19=Parametres!$G$3),J19,D19)</f>
        <v>678</v>
      </c>
      <c r="P19" s="155">
        <f>+IF(OR($Q19=Parametres!$G$2,$Q19=Parametres!$G$3),K19,E19)</f>
        <v>4407</v>
      </c>
      <c r="Q19" s="154" t="str">
        <f t="shared" si="3"/>
        <v>1-Mémo</v>
      </c>
      <c r="R19" s="153" t="str">
        <f t="shared" si="3"/>
        <v>257</v>
      </c>
      <c r="S19" s="154">
        <f t="shared" si="3"/>
        <v>0</v>
      </c>
      <c r="T19" s="156" t="str">
        <f>+VLOOKUP($L19,Data_Validation!$A:$D,1,0)</f>
        <v>257</v>
      </c>
      <c r="U19" s="156">
        <f>+VLOOKUP($L19,Data_Validation!$A:$D,3,0)</f>
        <v>0</v>
      </c>
      <c r="V19" s="156">
        <f>+VLOOKUP($L19,Data_Validation!$A:$D,4,0)</f>
        <v>0</v>
      </c>
      <c r="W19" s="156">
        <f>+VLOOKUP($L19,Data_Validation!$A:$E,5,0)</f>
        <v>0</v>
      </c>
      <c r="X19" s="156">
        <f>+VLOOKUP($L19,Data_Validation!$A:$F,6,0)</f>
        <v>0</v>
      </c>
    </row>
    <row r="20" spans="1:24" ht="15" hidden="1" customHeight="1">
      <c r="A20" s="1012" t="s">
        <v>2252</v>
      </c>
      <c r="B20" s="1012" t="s">
        <v>2253</v>
      </c>
      <c r="C20" s="1013"/>
      <c r="D20" s="1013"/>
      <c r="E20" s="1013"/>
      <c r="F20" s="1012" t="s">
        <v>1</v>
      </c>
      <c r="G20" s="1012" t="s">
        <v>2251</v>
      </c>
      <c r="H20" s="1013"/>
      <c r="I20" s="1014">
        <v>2426</v>
      </c>
      <c r="J20" s="1014">
        <v>906</v>
      </c>
      <c r="K20" s="1014">
        <v>3332</v>
      </c>
      <c r="L20" s="153" t="str">
        <f t="shared" si="0"/>
        <v>258</v>
      </c>
      <c r="M20" s="154" t="str">
        <f t="shared" si="1"/>
        <v>HEURES VENDUES - SERVICE - GARANTIE VW</v>
      </c>
      <c r="N20" s="155">
        <f>+IF(OR($Q20=Parametres!$G$2,$Q20=Parametres!$G$3),I20,C20)</f>
        <v>2426</v>
      </c>
      <c r="O20" s="575">
        <f>+IF(OR($Q20=Parametres!$G$2,$Q20=Parametres!$G$3),J20,D20)</f>
        <v>906</v>
      </c>
      <c r="P20" s="155">
        <f>+IF(OR($Q20=Parametres!$G$2,$Q20=Parametres!$G$3),K20,E20)</f>
        <v>3332</v>
      </c>
      <c r="Q20" s="154" t="str">
        <f t="shared" si="3"/>
        <v>1-Mémo</v>
      </c>
      <c r="R20" s="153" t="str">
        <f t="shared" si="3"/>
        <v>257</v>
      </c>
      <c r="S20" s="154">
        <f t="shared" si="3"/>
        <v>0</v>
      </c>
      <c r="T20" s="156" t="str">
        <f>+VLOOKUP($L20,Data_Validation!$A:$D,1,0)</f>
        <v>258</v>
      </c>
      <c r="U20" s="156">
        <f>+VLOOKUP($L20,Data_Validation!$A:$D,3,0)</f>
        <v>0</v>
      </c>
      <c r="V20" s="156">
        <f>+VLOOKUP($L20,Data_Validation!$A:$D,4,0)</f>
        <v>0</v>
      </c>
      <c r="W20" s="156">
        <f>+VLOOKUP($L20,Data_Validation!$A:$E,5,0)</f>
        <v>0</v>
      </c>
      <c r="X20" s="156">
        <f>+VLOOKUP($L20,Data_Validation!$A:$F,6,0)</f>
        <v>0</v>
      </c>
    </row>
    <row r="21" spans="1:24" ht="15" hidden="1" customHeight="1">
      <c r="A21" s="1012" t="s">
        <v>2254</v>
      </c>
      <c r="B21" s="1012" t="s">
        <v>2255</v>
      </c>
      <c r="C21" s="1013"/>
      <c r="D21" s="1013"/>
      <c r="E21" s="1013"/>
      <c r="F21" s="1012" t="s">
        <v>1</v>
      </c>
      <c r="G21" s="1012" t="s">
        <v>2251</v>
      </c>
      <c r="H21" s="1013"/>
      <c r="I21" s="1014">
        <v>1847</v>
      </c>
      <c r="J21" s="1014">
        <v>529</v>
      </c>
      <c r="K21" s="1014">
        <v>2376</v>
      </c>
      <c r="L21" s="153" t="str">
        <f t="shared" si="0"/>
        <v>259</v>
      </c>
      <c r="M21" s="154" t="str">
        <f t="shared" si="1"/>
        <v>HEURES VENDUES - SERVICE - INTERNE VW</v>
      </c>
      <c r="N21" s="155">
        <f>+IF(OR($Q21=Parametres!$G$2,$Q21=Parametres!$G$3),I21,C21)</f>
        <v>1847</v>
      </c>
      <c r="O21" s="155">
        <f>+IF(OR($Q21=Parametres!$G$2,$Q21=Parametres!$G$3),J21,D21)</f>
        <v>529</v>
      </c>
      <c r="P21" s="155">
        <f>+IF(OR($Q21=Parametres!$G$2,$Q21=Parametres!$G$3),K21,E21)</f>
        <v>2376</v>
      </c>
      <c r="Q21" s="154" t="str">
        <f t="shared" si="3"/>
        <v>1-Mémo</v>
      </c>
      <c r="R21" s="153" t="str">
        <f t="shared" si="3"/>
        <v>257</v>
      </c>
      <c r="S21" s="154">
        <f t="shared" si="3"/>
        <v>0</v>
      </c>
      <c r="T21" s="156" t="str">
        <f>+VLOOKUP($L21,Data_Validation!$A:$D,1,0)</f>
        <v>259</v>
      </c>
      <c r="U21" s="156">
        <f>+VLOOKUP($L21,Data_Validation!$A:$D,3,0)</f>
        <v>0</v>
      </c>
      <c r="V21" s="156">
        <f>+VLOOKUP($L21,Data_Validation!$A:$D,4,0)</f>
        <v>0</v>
      </c>
      <c r="W21" s="156">
        <f>+VLOOKUP($L21,Data_Validation!$A:$E,5,0)</f>
        <v>0</v>
      </c>
      <c r="X21" s="156">
        <f>+VLOOKUP($L21,Data_Validation!$A:$F,6,0)</f>
        <v>0</v>
      </c>
    </row>
    <row r="22" spans="1:24" ht="15" hidden="1" customHeight="1">
      <c r="A22" s="1012" t="s">
        <v>2256</v>
      </c>
      <c r="B22" s="1012" t="s">
        <v>2257</v>
      </c>
      <c r="C22" s="1013"/>
      <c r="D22" s="1013"/>
      <c r="E22" s="1013"/>
      <c r="F22" s="1012" t="s">
        <v>1</v>
      </c>
      <c r="G22" s="1012" t="s">
        <v>2211</v>
      </c>
      <c r="H22" s="1013"/>
      <c r="I22" s="1014">
        <v>2545.29</v>
      </c>
      <c r="J22" s="1014">
        <v>0</v>
      </c>
      <c r="K22" s="1014">
        <v>2545.29</v>
      </c>
      <c r="L22" s="153" t="str">
        <f t="shared" si="0"/>
        <v>300</v>
      </c>
      <c r="M22" s="154" t="str">
        <f t="shared" si="1"/>
        <v>REC VEH PASSE DU 30-60</v>
      </c>
      <c r="N22" s="155">
        <f>+IF(OR($Q22=Parametres!$G$2,$Q22=Parametres!$G$3),I22,C22)</f>
        <v>2545.29</v>
      </c>
      <c r="O22" s="575">
        <f>+IF(OR($Q22=Parametres!$G$2,$Q22=Parametres!$G$3),J22,D22)</f>
        <v>0</v>
      </c>
      <c r="P22" s="155">
        <f>+IF(OR($Q22=Parametres!$G$2,$Q22=Parametres!$G$3),K22,E22)</f>
        <v>2545.29</v>
      </c>
      <c r="Q22" s="154" t="str">
        <f t="shared" si="3"/>
        <v>1-Mémo</v>
      </c>
      <c r="R22" s="153" t="str">
        <f t="shared" si="3"/>
        <v>30</v>
      </c>
      <c r="S22" s="154">
        <f t="shared" si="3"/>
        <v>0</v>
      </c>
      <c r="T22" s="156" t="str">
        <f>+VLOOKUP($L22,Data_Validation!$A:$D,1,0)</f>
        <v>300</v>
      </c>
      <c r="U22" s="156">
        <f>+VLOOKUP($L22,Data_Validation!$A:$D,3,0)</f>
        <v>0</v>
      </c>
      <c r="V22" s="156">
        <f>+VLOOKUP($L22,Data_Validation!$A:$D,4,0)</f>
        <v>0</v>
      </c>
      <c r="W22" s="156">
        <f>+VLOOKUP($L22,Data_Validation!$A:$E,5,0)</f>
        <v>0</v>
      </c>
      <c r="X22" s="156">
        <f>+VLOOKUP($L22,Data_Validation!$A:$F,6,0)</f>
        <v>0</v>
      </c>
    </row>
    <row r="23" spans="1:24" ht="15" hidden="1" customHeight="1">
      <c r="A23" s="1012" t="s">
        <v>2258</v>
      </c>
      <c r="B23" s="1012" t="s">
        <v>2259</v>
      </c>
      <c r="C23" s="1013"/>
      <c r="D23" s="1013"/>
      <c r="E23" s="1013"/>
      <c r="F23" s="1012" t="s">
        <v>1</v>
      </c>
      <c r="G23" s="1012" t="s">
        <v>2211</v>
      </c>
      <c r="H23" s="1013"/>
      <c r="I23" s="1014">
        <v>168242.54</v>
      </c>
      <c r="J23" s="1014">
        <v>17424.39</v>
      </c>
      <c r="K23" s="1014">
        <v>185666.93</v>
      </c>
      <c r="L23" s="153" t="str">
        <f t="shared" si="0"/>
        <v>301</v>
      </c>
      <c r="M23" s="154" t="str">
        <f t="shared" si="1"/>
        <v>CLIENT S P ET A PASSE DU 30-60</v>
      </c>
      <c r="N23" s="155">
        <f>+IF(OR($Q23=Parametres!$G$2,$Q23=Parametres!$G$3),I23,C23)</f>
        <v>168242.54</v>
      </c>
      <c r="O23" s="575">
        <f>+IF(OR($Q23=Parametres!$G$2,$Q23=Parametres!$G$3),J23,D23)</f>
        <v>17424.39</v>
      </c>
      <c r="P23" s="155">
        <f>+IF(OR($Q23=Parametres!$G$2,$Q23=Parametres!$G$3),K23,E23)</f>
        <v>185666.93</v>
      </c>
      <c r="Q23" s="154" t="str">
        <f t="shared" si="3"/>
        <v>1-Mémo</v>
      </c>
      <c r="R23" s="153" t="str">
        <f t="shared" si="3"/>
        <v>30</v>
      </c>
      <c r="S23" s="154">
        <f t="shared" si="3"/>
        <v>0</v>
      </c>
      <c r="T23" s="156" t="str">
        <f>+VLOOKUP($L23,Data_Validation!$A:$D,1,0)</f>
        <v>301</v>
      </c>
      <c r="U23" s="156">
        <f>+VLOOKUP($L23,Data_Validation!$A:$D,3,0)</f>
        <v>0</v>
      </c>
      <c r="V23" s="156">
        <f>+VLOOKUP($L23,Data_Validation!$A:$D,4,0)</f>
        <v>0</v>
      </c>
      <c r="W23" s="156">
        <f>+VLOOKUP($L23,Data_Validation!$A:$E,5,0)</f>
        <v>0</v>
      </c>
      <c r="X23" s="156">
        <f>+VLOOKUP($L23,Data_Validation!$A:$F,6,0)</f>
        <v>0</v>
      </c>
    </row>
    <row r="24" spans="1:24" ht="15" hidden="1" customHeight="1">
      <c r="A24" s="1012" t="s">
        <v>2260</v>
      </c>
      <c r="B24" s="1012" t="s">
        <v>2261</v>
      </c>
      <c r="C24" s="1013"/>
      <c r="D24" s="1013"/>
      <c r="E24" s="1013"/>
      <c r="F24" s="1012" t="s">
        <v>1</v>
      </c>
      <c r="G24" s="1012" t="s">
        <v>2211</v>
      </c>
      <c r="H24" s="1013"/>
      <c r="I24" s="1014">
        <v>164590.89000000001</v>
      </c>
      <c r="J24" s="1014">
        <v>35419.769999999997</v>
      </c>
      <c r="K24" s="1014">
        <v>200010.66</v>
      </c>
      <c r="L24" s="153" t="str">
        <f t="shared" si="0"/>
        <v>302</v>
      </c>
      <c r="M24" s="154" t="str">
        <f t="shared" si="1"/>
        <v>RECLAM GARANTIE VW PASSE DU 30-60</v>
      </c>
      <c r="N24" s="155">
        <f>+IF(OR($Q24=Parametres!$G$2,$Q24=Parametres!$G$3),I24,C24)</f>
        <v>164590.89000000001</v>
      </c>
      <c r="O24" s="575">
        <f>+IF(OR($Q24=Parametres!$G$2,$Q24=Parametres!$G$3),J24,D24)</f>
        <v>35419.769999999997</v>
      </c>
      <c r="P24" s="155">
        <f>+IF(OR($Q24=Parametres!$G$2,$Q24=Parametres!$G$3),K24,E24)</f>
        <v>200010.66</v>
      </c>
      <c r="Q24" s="154" t="str">
        <f t="shared" si="3"/>
        <v>1-Mémo</v>
      </c>
      <c r="R24" s="153" t="str">
        <f t="shared" si="3"/>
        <v>30</v>
      </c>
      <c r="S24" s="154">
        <f t="shared" si="3"/>
        <v>0</v>
      </c>
      <c r="T24" s="156" t="str">
        <f>+VLOOKUP($L24,Data_Validation!$A:$D,1,0)</f>
        <v>302</v>
      </c>
      <c r="U24" s="156">
        <f>+VLOOKUP($L24,Data_Validation!$A:$D,3,0)</f>
        <v>0</v>
      </c>
      <c r="V24" s="156">
        <f>+VLOOKUP($L24,Data_Validation!$A:$D,4,0)</f>
        <v>0</v>
      </c>
      <c r="W24" s="156">
        <f>+VLOOKUP($L24,Data_Validation!$A:$E,5,0)</f>
        <v>0</v>
      </c>
      <c r="X24" s="156">
        <f>+VLOOKUP($L24,Data_Validation!$A:$F,6,0)</f>
        <v>0</v>
      </c>
    </row>
    <row r="25" spans="1:24" ht="15" hidden="1" customHeight="1">
      <c r="A25" s="1012" t="s">
        <v>2262</v>
      </c>
      <c r="B25" s="1012" t="s">
        <v>2263</v>
      </c>
      <c r="C25" s="1013"/>
      <c r="D25" s="1013"/>
      <c r="E25" s="1013"/>
      <c r="F25" s="1012" t="s">
        <v>1</v>
      </c>
      <c r="G25" s="1012" t="s">
        <v>2211</v>
      </c>
      <c r="H25" s="1013"/>
      <c r="I25" s="1014">
        <v>250212.43</v>
      </c>
      <c r="J25" s="1014">
        <v>5000</v>
      </c>
      <c r="K25" s="1014">
        <v>255212.43</v>
      </c>
      <c r="L25" s="153" t="str">
        <f t="shared" si="0"/>
        <v>307</v>
      </c>
      <c r="M25" s="154" t="str">
        <f t="shared" si="1"/>
        <v>AUTRE REC MANUFACTURIER VW PASSE DU 30-60</v>
      </c>
      <c r="N25" s="155">
        <f>+IF(OR($Q25=Parametres!$G$2,$Q25=Parametres!$G$3),I25,C25)</f>
        <v>250212.43</v>
      </c>
      <c r="O25" s="575">
        <f>+IF(OR($Q25=Parametres!$G$2,$Q25=Parametres!$G$3),J25,D25)</f>
        <v>5000</v>
      </c>
      <c r="P25" s="155">
        <f>+IF(OR($Q25=Parametres!$G$2,$Q25=Parametres!$G$3),K25,E25)</f>
        <v>255212.43</v>
      </c>
      <c r="Q25" s="154" t="str">
        <f t="shared" si="3"/>
        <v>1-Mémo</v>
      </c>
      <c r="R25" s="153" t="str">
        <f t="shared" si="3"/>
        <v>30</v>
      </c>
      <c r="S25" s="154">
        <f t="shared" si="3"/>
        <v>0</v>
      </c>
      <c r="T25" s="156" t="str">
        <f>+VLOOKUP($L25,Data_Validation!$A:$D,1,0)</f>
        <v>307</v>
      </c>
      <c r="U25" s="156">
        <f>+VLOOKUP($L25,Data_Validation!$A:$D,3,0)</f>
        <v>0</v>
      </c>
      <c r="V25" s="156">
        <f>+VLOOKUP($L25,Data_Validation!$A:$D,4,0)</f>
        <v>0</v>
      </c>
      <c r="W25" s="156">
        <f>+VLOOKUP($L25,Data_Validation!$A:$E,5,0)</f>
        <v>0</v>
      </c>
      <c r="X25" s="156">
        <f>+VLOOKUP($L25,Data_Validation!$A:$F,6,0)</f>
        <v>0</v>
      </c>
    </row>
    <row r="26" spans="1:24" ht="15.75" hidden="1" customHeight="1">
      <c r="A26" s="1012" t="s">
        <v>2264</v>
      </c>
      <c r="B26" s="1012" t="s">
        <v>2265</v>
      </c>
      <c r="C26" s="1013"/>
      <c r="D26" s="1013"/>
      <c r="E26" s="1013"/>
      <c r="F26" s="1012" t="s">
        <v>1</v>
      </c>
      <c r="G26" s="1012" t="s">
        <v>2266</v>
      </c>
      <c r="H26" s="1013"/>
      <c r="I26" s="1014">
        <v>94500.479999999996</v>
      </c>
      <c r="J26" s="1014">
        <v>13766.26</v>
      </c>
      <c r="K26" s="1014">
        <v>108266.74</v>
      </c>
      <c r="L26" s="153" t="str">
        <f t="shared" si="0"/>
        <v>311</v>
      </c>
      <c r="M26" s="154" t="str">
        <f t="shared" si="1"/>
        <v>CLIENT VEH PLUS DE 60</v>
      </c>
      <c r="N26" s="155">
        <f>+IF(OR($Q26=Parametres!$G$2,$Q26=Parametres!$G$3),I26,C26)</f>
        <v>94500.479999999996</v>
      </c>
      <c r="O26" s="575">
        <f>+IF(OR($Q26=Parametres!$G$2,$Q26=Parametres!$G$3),J26,D26)</f>
        <v>13766.26</v>
      </c>
      <c r="P26" s="155">
        <f>+IF(OR($Q26=Parametres!$G$2,$Q26=Parametres!$G$3),K26,E26)</f>
        <v>108266.74</v>
      </c>
      <c r="Q26" s="154" t="str">
        <f t="shared" si="3"/>
        <v>1-Mémo</v>
      </c>
      <c r="R26" s="153" t="str">
        <f t="shared" si="3"/>
        <v>31</v>
      </c>
      <c r="S26" s="154">
        <f t="shared" si="3"/>
        <v>0</v>
      </c>
      <c r="T26" s="156" t="str">
        <f>+VLOOKUP($L26,Data_Validation!$A:$D,1,0)</f>
        <v>311</v>
      </c>
      <c r="U26" s="156">
        <f>+VLOOKUP($L26,Data_Validation!$A:$D,3,0)</f>
        <v>0</v>
      </c>
      <c r="V26" s="156">
        <f>+VLOOKUP($L26,Data_Validation!$A:$D,4,0)</f>
        <v>0</v>
      </c>
      <c r="W26" s="156">
        <f>+VLOOKUP($L26,Data_Validation!$A:$E,5,0)</f>
        <v>0</v>
      </c>
      <c r="X26" s="156">
        <f>+VLOOKUP($L26,Data_Validation!$A:$F,6,0)</f>
        <v>0</v>
      </c>
    </row>
    <row r="27" spans="1:24" ht="15" hidden="1" customHeight="1">
      <c r="A27" s="1012" t="s">
        <v>2267</v>
      </c>
      <c r="B27" s="1012" t="s">
        <v>2268</v>
      </c>
      <c r="C27" s="1013"/>
      <c r="D27" s="1013"/>
      <c r="E27" s="1013"/>
      <c r="F27" s="1012" t="s">
        <v>1</v>
      </c>
      <c r="G27" s="1012" t="s">
        <v>2266</v>
      </c>
      <c r="H27" s="1013"/>
      <c r="I27" s="1014">
        <v>104568.18</v>
      </c>
      <c r="J27" s="1014">
        <v>8695.8700000000008</v>
      </c>
      <c r="K27" s="1014">
        <v>113264.05</v>
      </c>
      <c r="L27" s="153" t="str">
        <f t="shared" si="0"/>
        <v>312</v>
      </c>
      <c r="M27" s="154" t="str">
        <f t="shared" si="1"/>
        <v>CLIENT S P ET A PLUS DE 60</v>
      </c>
      <c r="N27" s="155">
        <f>+IF(OR($Q27=Parametres!$G$2,$Q27=Parametres!$G$3),I27,C27)</f>
        <v>104568.18</v>
      </c>
      <c r="O27" s="575">
        <f>+IF(OR($Q27=Parametres!$G$2,$Q27=Parametres!$G$3),J27,D27)</f>
        <v>8695.8700000000008</v>
      </c>
      <c r="P27" s="155">
        <f>+IF(OR($Q27=Parametres!$G$2,$Q27=Parametres!$G$3),K27,E27)</f>
        <v>113264.05</v>
      </c>
      <c r="Q27" s="154" t="str">
        <f t="shared" si="3"/>
        <v>1-Mémo</v>
      </c>
      <c r="R27" s="153" t="str">
        <f t="shared" si="3"/>
        <v>31</v>
      </c>
      <c r="S27" s="154">
        <f t="shared" si="3"/>
        <v>0</v>
      </c>
      <c r="T27" s="156" t="str">
        <f>+VLOOKUP($L27,Data_Validation!$A:$D,1,0)</f>
        <v>312</v>
      </c>
      <c r="U27" s="156">
        <f>+VLOOKUP($L27,Data_Validation!$A:$D,3,0)</f>
        <v>0</v>
      </c>
      <c r="V27" s="156">
        <f>+VLOOKUP($L27,Data_Validation!$A:$D,4,0)</f>
        <v>0</v>
      </c>
      <c r="W27" s="156">
        <f>+VLOOKUP($L27,Data_Validation!$A:$E,5,0)</f>
        <v>0</v>
      </c>
      <c r="X27" s="156">
        <f>+VLOOKUP($L27,Data_Validation!$A:$F,6,0)</f>
        <v>0</v>
      </c>
    </row>
    <row r="28" spans="1:24" ht="15" hidden="1" customHeight="1">
      <c r="A28" s="1012" t="s">
        <v>2269</v>
      </c>
      <c r="B28" s="1012" t="s">
        <v>2270</v>
      </c>
      <c r="C28" s="1013"/>
      <c r="D28" s="1013"/>
      <c r="E28" s="1013"/>
      <c r="F28" s="1012" t="s">
        <v>1</v>
      </c>
      <c r="G28" s="1012" t="s">
        <v>2266</v>
      </c>
      <c r="H28" s="1013"/>
      <c r="I28" s="1014">
        <v>237613.29</v>
      </c>
      <c r="J28" s="1014">
        <v>44537.26</v>
      </c>
      <c r="K28" s="1014">
        <v>282150.55</v>
      </c>
      <c r="L28" s="153" t="str">
        <f t="shared" si="0"/>
        <v>313</v>
      </c>
      <c r="M28" s="154" t="str">
        <f t="shared" si="1"/>
        <v>RECLAMATIONS DE GARATIE VW PLUS DE 60</v>
      </c>
      <c r="N28" s="155">
        <f>+IF(OR($Q28=Parametres!$G$2,$Q28=Parametres!$G$3),I28,C28)</f>
        <v>237613.29</v>
      </c>
      <c r="O28" s="576">
        <f>+IF(OR($Q28=Parametres!$G$2,$Q28=Parametres!$G$3),J28,D28)</f>
        <v>44537.26</v>
      </c>
      <c r="P28" s="155">
        <f>+IF(OR($Q28=Parametres!$G$2,$Q28=Parametres!$G$3),K28,E28)</f>
        <v>282150.55</v>
      </c>
      <c r="Q28" s="154" t="str">
        <f t="shared" si="3"/>
        <v>1-Mémo</v>
      </c>
      <c r="R28" s="153" t="str">
        <f t="shared" si="3"/>
        <v>31</v>
      </c>
      <c r="S28" s="154">
        <f t="shared" si="3"/>
        <v>0</v>
      </c>
      <c r="T28" s="156" t="str">
        <f>+VLOOKUP($L28,Data_Validation!$A:$D,1,0)</f>
        <v>313</v>
      </c>
      <c r="U28" s="156">
        <f>+VLOOKUP($L28,Data_Validation!$A:$D,3,0)</f>
        <v>0</v>
      </c>
      <c r="V28" s="156">
        <f>+VLOOKUP($L28,Data_Validation!$A:$D,4,0)</f>
        <v>0</v>
      </c>
      <c r="W28" s="156">
        <f>+VLOOKUP($L28,Data_Validation!$A:$E,5,0)</f>
        <v>0</v>
      </c>
      <c r="X28" s="156">
        <f>+VLOOKUP($L28,Data_Validation!$A:$F,6,0)</f>
        <v>0</v>
      </c>
    </row>
    <row r="29" spans="1:24" ht="15" hidden="1" customHeight="1">
      <c r="A29" s="1012" t="s">
        <v>2271</v>
      </c>
      <c r="B29" s="1012" t="s">
        <v>2272</v>
      </c>
      <c r="C29" s="1013"/>
      <c r="D29" s="1013"/>
      <c r="E29" s="1013"/>
      <c r="F29" s="1012" t="s">
        <v>1</v>
      </c>
      <c r="G29" s="1012" t="s">
        <v>2266</v>
      </c>
      <c r="H29" s="1013"/>
      <c r="I29" s="1014">
        <v>244415.29</v>
      </c>
      <c r="J29" s="1014">
        <v>53591.81</v>
      </c>
      <c r="K29" s="1014">
        <v>298007.09999999998</v>
      </c>
      <c r="L29" s="153" t="str">
        <f t="shared" si="0"/>
        <v>316</v>
      </c>
      <c r="M29" s="154" t="str">
        <f t="shared" si="1"/>
        <v>AUTRE REC MANUFACTURIER VW PLUS DE 60</v>
      </c>
      <c r="N29" s="155">
        <f>+IF(OR($Q29=Parametres!$G$2,$Q29=Parametres!$G$3),I29,C29)</f>
        <v>244415.29</v>
      </c>
      <c r="O29" s="576">
        <f>+IF(OR($Q29=Parametres!$G$2,$Q29=Parametres!$G$3),J29,D29)</f>
        <v>53591.81</v>
      </c>
      <c r="P29" s="155">
        <f>+IF(OR($Q29=Parametres!$G$2,$Q29=Parametres!$G$3),K29,E29)</f>
        <v>298007.09999999998</v>
      </c>
      <c r="Q29" s="154" t="str">
        <f t="shared" si="3"/>
        <v>1-Mémo</v>
      </c>
      <c r="R29" s="153" t="str">
        <f t="shared" si="3"/>
        <v>31</v>
      </c>
      <c r="S29" s="154">
        <f t="shared" si="3"/>
        <v>0</v>
      </c>
      <c r="T29" s="156" t="str">
        <f>+VLOOKUP($L29,Data_Validation!$A:$D,1,0)</f>
        <v>316</v>
      </c>
      <c r="U29" s="156">
        <f>+VLOOKUP($L29,Data_Validation!$A:$D,3,0)</f>
        <v>0</v>
      </c>
      <c r="V29" s="156">
        <f>+VLOOKUP($L29,Data_Validation!$A:$D,4,0)</f>
        <v>0</v>
      </c>
      <c r="W29" s="156">
        <f>+VLOOKUP($L29,Data_Validation!$A:$E,5,0)</f>
        <v>0</v>
      </c>
      <c r="X29" s="156">
        <f>+VLOOKUP($L29,Data_Validation!$A:$F,6,0)</f>
        <v>0</v>
      </c>
    </row>
    <row r="30" spans="1:24" ht="15" customHeight="1">
      <c r="A30" s="1012" t="s">
        <v>2917</v>
      </c>
      <c r="B30" s="1012" t="s">
        <v>2918</v>
      </c>
      <c r="C30" s="1013"/>
      <c r="D30" s="1013"/>
      <c r="E30" s="1013"/>
      <c r="F30" s="1012" t="s">
        <v>1</v>
      </c>
      <c r="G30" s="1012" t="s">
        <v>2919</v>
      </c>
      <c r="H30" s="1013"/>
      <c r="I30" s="1014">
        <v>1474130</v>
      </c>
      <c r="J30" s="1014">
        <v>0</v>
      </c>
      <c r="K30" s="1014">
        <v>1474130</v>
      </c>
      <c r="L30" s="153" t="str">
        <f t="shared" si="0"/>
        <v>320</v>
      </c>
      <c r="M30" s="154" t="str">
        <f t="shared" si="1"/>
        <v>UNITES NEUVES-VW EN INV.</v>
      </c>
      <c r="N30" s="155">
        <f>+IF(OR($Q30=Parametres!$G$2,$Q30=Parametres!$G$3),I30,C30)</f>
        <v>1474130</v>
      </c>
      <c r="O30" s="575">
        <f>+IF(OR($Q30=Parametres!$G$2,$Q30=Parametres!$G$3),J30,D30)</f>
        <v>0</v>
      </c>
      <c r="P30" s="155">
        <f>+IF(OR($Q30=Parametres!$G$2,$Q30=Parametres!$G$3),K30,E30)</f>
        <v>1474130</v>
      </c>
      <c r="Q30" s="154" t="str">
        <f t="shared" si="3"/>
        <v>1-Mémo</v>
      </c>
      <c r="R30" s="153" t="str">
        <f t="shared" si="3"/>
        <v>32</v>
      </c>
      <c r="S30" s="154">
        <f t="shared" si="3"/>
        <v>0</v>
      </c>
      <c r="T30" s="156" t="e">
        <f>+VLOOKUP($L30,Data_Validation!$A:$D,1,0)</f>
        <v>#N/A</v>
      </c>
      <c r="U30" s="156" t="e">
        <f>+VLOOKUP($L30,Data_Validation!$A:$D,3,0)</f>
        <v>#N/A</v>
      </c>
      <c r="V30" s="156" t="e">
        <f>+VLOOKUP($L30,Data_Validation!$A:$D,4,0)</f>
        <v>#N/A</v>
      </c>
      <c r="W30" s="156" t="e">
        <f>+VLOOKUP($L30,Data_Validation!$A:$E,5,0)</f>
        <v>#N/A</v>
      </c>
      <c r="X30" s="156" t="e">
        <f>+VLOOKUP($L30,Data_Validation!$A:$F,6,0)</f>
        <v>#N/A</v>
      </c>
    </row>
    <row r="31" spans="1:24" ht="15" customHeight="1">
      <c r="A31" s="1012" t="s">
        <v>2920</v>
      </c>
      <c r="B31" s="1012" t="s">
        <v>2921</v>
      </c>
      <c r="C31" s="1013"/>
      <c r="D31" s="1013"/>
      <c r="E31" s="1013"/>
      <c r="F31" s="1012" t="s">
        <v>1</v>
      </c>
      <c r="G31" s="1012" t="s">
        <v>2919</v>
      </c>
      <c r="H31" s="1013"/>
      <c r="I31" s="1014">
        <v>0.47</v>
      </c>
      <c r="J31" s="1014">
        <v>0</v>
      </c>
      <c r="K31" s="1014">
        <v>0.47</v>
      </c>
      <c r="L31" s="153" t="str">
        <f t="shared" si="0"/>
        <v>329</v>
      </c>
      <c r="M31" s="154" t="str">
        <f t="shared" si="1"/>
        <v>UNITES NEUVES-A.M. EN INV.</v>
      </c>
      <c r="N31" s="155">
        <f>+IF(OR($Q31=Parametres!$G$2,$Q31=Parametres!$G$3),I31,C31)</f>
        <v>0.47</v>
      </c>
      <c r="O31" s="155">
        <f>+IF(OR($Q31=Parametres!$G$2,$Q31=Parametres!$G$3),J31,D31)</f>
        <v>0</v>
      </c>
      <c r="P31" s="155">
        <f>+IF(OR($Q31=Parametres!$G$2,$Q31=Parametres!$G$3),K31,E31)</f>
        <v>0.47</v>
      </c>
      <c r="Q31" s="154" t="str">
        <f t="shared" si="3"/>
        <v>1-Mémo</v>
      </c>
      <c r="R31" s="153" t="str">
        <f t="shared" si="3"/>
        <v>32</v>
      </c>
      <c r="S31" s="154">
        <f t="shared" si="3"/>
        <v>0</v>
      </c>
      <c r="T31" s="156" t="e">
        <f>+VLOOKUP($L31,Data_Validation!$A:$D,1,0)</f>
        <v>#N/A</v>
      </c>
      <c r="U31" s="156" t="e">
        <f>+VLOOKUP($L31,Data_Validation!$A:$D,3,0)</f>
        <v>#N/A</v>
      </c>
      <c r="V31" s="156" t="e">
        <f>+VLOOKUP($L31,Data_Validation!$A:$D,4,0)</f>
        <v>#N/A</v>
      </c>
      <c r="W31" s="156" t="e">
        <f>+VLOOKUP($L31,Data_Validation!$A:$E,5,0)</f>
        <v>#N/A</v>
      </c>
      <c r="X31" s="156" t="e">
        <f>+VLOOKUP($L31,Data_Validation!$A:$F,6,0)</f>
        <v>#N/A</v>
      </c>
    </row>
    <row r="32" spans="1:24" ht="15" hidden="1" customHeight="1">
      <c r="A32" s="1012" t="s">
        <v>2273</v>
      </c>
      <c r="B32" s="1012" t="s">
        <v>2274</v>
      </c>
      <c r="C32" s="1013"/>
      <c r="D32" s="1013"/>
      <c r="E32" s="1013"/>
      <c r="F32" s="1012" t="s">
        <v>1</v>
      </c>
      <c r="G32" s="1012" t="s">
        <v>2275</v>
      </c>
      <c r="H32" s="1013"/>
      <c r="I32" s="1014">
        <v>1.1100000000000001</v>
      </c>
      <c r="J32" s="1014">
        <v>0.08</v>
      </c>
      <c r="K32" s="1014">
        <v>1.19</v>
      </c>
      <c r="L32" s="153" t="str">
        <f t="shared" si="0"/>
        <v>350</v>
      </c>
      <c r="M32" s="154" t="str">
        <f t="shared" si="1"/>
        <v>UNITES USAGES +30JRS</v>
      </c>
      <c r="N32" s="155">
        <f>+IF(OR($Q32=Parametres!$G$2,$Q32=Parametres!$G$3),I32,C32)</f>
        <v>1.1100000000000001</v>
      </c>
      <c r="O32" s="576">
        <f>+IF(OR($Q32=Parametres!$G$2,$Q32=Parametres!$G$3),J32,D32)</f>
        <v>0.08</v>
      </c>
      <c r="P32" s="155">
        <f>+IF(OR($Q32=Parametres!$G$2,$Q32=Parametres!$G$3),K32,E32)</f>
        <v>1.19</v>
      </c>
      <c r="Q32" s="154" t="str">
        <f t="shared" si="3"/>
        <v>1-Mémo</v>
      </c>
      <c r="R32" s="153" t="str">
        <f t="shared" si="3"/>
        <v>35</v>
      </c>
      <c r="S32" s="154">
        <f t="shared" si="3"/>
        <v>0</v>
      </c>
      <c r="T32" s="156" t="str">
        <f>+VLOOKUP($L32,Data_Validation!$A:$D,1,0)</f>
        <v>350</v>
      </c>
      <c r="U32" s="156">
        <f>+VLOOKUP($L32,Data_Validation!$A:$D,3,0)</f>
        <v>0</v>
      </c>
      <c r="V32" s="156">
        <f>+VLOOKUP($L32,Data_Validation!$A:$D,4,0)</f>
        <v>0</v>
      </c>
      <c r="W32" s="156">
        <f>+VLOOKUP($L32,Data_Validation!$A:$E,5,0)</f>
        <v>0</v>
      </c>
      <c r="X32" s="156">
        <f>+VLOOKUP($L32,Data_Validation!$A:$F,6,0)</f>
        <v>0</v>
      </c>
    </row>
    <row r="33" spans="1:24" ht="15" hidden="1" customHeight="1">
      <c r="A33" s="1012" t="s">
        <v>2276</v>
      </c>
      <c r="B33" s="1012" t="s">
        <v>2277</v>
      </c>
      <c r="C33" s="1013"/>
      <c r="D33" s="1013"/>
      <c r="E33" s="1013"/>
      <c r="F33" s="1012" t="s">
        <v>1</v>
      </c>
      <c r="G33" s="1012" t="s">
        <v>2278</v>
      </c>
      <c r="H33" s="1013"/>
      <c r="I33" s="1014">
        <v>1070454.7</v>
      </c>
      <c r="J33" s="1014">
        <v>152520</v>
      </c>
      <c r="K33" s="1014">
        <v>1222974.7</v>
      </c>
      <c r="L33" s="153" t="str">
        <f t="shared" si="0"/>
        <v>360</v>
      </c>
      <c r="M33" s="154" t="str">
        <f t="shared" si="1"/>
        <v>OCCASION VW + 60 JRS</v>
      </c>
      <c r="N33" s="155">
        <f>+IF(OR($Q33=Parametres!$G$2,$Q33=Parametres!$G$3),I33,C33)</f>
        <v>1070454.7</v>
      </c>
      <c r="O33" s="576">
        <f>+IF(OR($Q33=Parametres!$G$2,$Q33=Parametres!$G$3),J33,D33)</f>
        <v>152520</v>
      </c>
      <c r="P33" s="155">
        <f>+IF(OR($Q33=Parametres!$G$2,$Q33=Parametres!$G$3),K33,E33)</f>
        <v>1222974.7</v>
      </c>
      <c r="Q33" s="154" t="str">
        <f t="shared" si="3"/>
        <v>1-Mémo</v>
      </c>
      <c r="R33" s="153" t="str">
        <f t="shared" si="3"/>
        <v>36</v>
      </c>
      <c r="S33" s="154">
        <f t="shared" si="3"/>
        <v>0</v>
      </c>
      <c r="T33" s="156" t="str">
        <f>+VLOOKUP($L33,Data_Validation!$A:$D,1,0)</f>
        <v>360</v>
      </c>
      <c r="U33" s="156">
        <f>+VLOOKUP($L33,Data_Validation!$A:$D,3,0)</f>
        <v>0</v>
      </c>
      <c r="V33" s="156">
        <f>+VLOOKUP($L33,Data_Validation!$A:$D,4,0)</f>
        <v>0</v>
      </c>
      <c r="W33" s="156">
        <f>+VLOOKUP($L33,Data_Validation!$A:$E,5,0)</f>
        <v>0</v>
      </c>
      <c r="X33" s="156">
        <f>+VLOOKUP($L33,Data_Validation!$A:$F,6,0)</f>
        <v>0</v>
      </c>
    </row>
    <row r="34" spans="1:24" ht="15.75" hidden="1" customHeight="1">
      <c r="A34" s="1012" t="s">
        <v>2279</v>
      </c>
      <c r="B34" s="1012" t="s">
        <v>2280</v>
      </c>
      <c r="C34" s="1013"/>
      <c r="D34" s="1013"/>
      <c r="E34" s="1013"/>
      <c r="F34" s="1012" t="s">
        <v>1</v>
      </c>
      <c r="G34" s="1012" t="s">
        <v>2904</v>
      </c>
      <c r="H34" s="1013"/>
      <c r="I34" s="1014">
        <v>425000</v>
      </c>
      <c r="J34" s="1014">
        <v>0</v>
      </c>
      <c r="K34" s="1014">
        <v>425000</v>
      </c>
      <c r="L34" s="153" t="str">
        <f t="shared" si="0"/>
        <v>370</v>
      </c>
      <c r="M34" s="154" t="str">
        <f t="shared" si="1"/>
        <v>AVOIR DU PROP. MIM. REQUIS</v>
      </c>
      <c r="N34" s="155">
        <f>+IF(OR($Q34=Parametres!$G$2,$Q34=Parametres!$G$3),I34,C34)</f>
        <v>425000</v>
      </c>
      <c r="O34" s="575">
        <f>+IF(OR($Q34=Parametres!$G$2,$Q34=Parametres!$G$3),J34,D34)</f>
        <v>0</v>
      </c>
      <c r="P34" s="155">
        <f>+IF(OR($Q34=Parametres!$G$2,$Q34=Parametres!$G$3),K34,E34)</f>
        <v>425000</v>
      </c>
      <c r="Q34" s="154" t="str">
        <f t="shared" ref="Q34:S49" si="4">+F34</f>
        <v>1-Mémo</v>
      </c>
      <c r="R34" s="153" t="str">
        <f t="shared" si="4"/>
        <v>37</v>
      </c>
      <c r="S34" s="154">
        <f t="shared" si="4"/>
        <v>0</v>
      </c>
      <c r="T34" s="156" t="str">
        <f>+VLOOKUP($L34,Data_Validation!$A:$D,1,0)</f>
        <v>370</v>
      </c>
      <c r="U34" s="156">
        <f>+VLOOKUP($L34,Data_Validation!$A:$D,3,0)</f>
        <v>0</v>
      </c>
      <c r="V34" s="156">
        <f>+VLOOKUP($L34,Data_Validation!$A:$D,4,0)</f>
        <v>0</v>
      </c>
      <c r="W34" s="156">
        <f>+VLOOKUP($L34,Data_Validation!$A:$E,5,0)</f>
        <v>0</v>
      </c>
      <c r="X34" s="156">
        <f>+VLOOKUP($L34,Data_Validation!$A:$F,6,0)</f>
        <v>0</v>
      </c>
    </row>
    <row r="35" spans="1:24" ht="15" hidden="1" customHeight="1">
      <c r="A35" s="1012" t="s">
        <v>2281</v>
      </c>
      <c r="B35" s="1012" t="s">
        <v>2282</v>
      </c>
      <c r="C35" s="1013"/>
      <c r="D35" s="1013"/>
      <c r="E35" s="1013"/>
      <c r="F35" s="1012" t="s">
        <v>1</v>
      </c>
      <c r="G35" s="1012" t="s">
        <v>2904</v>
      </c>
      <c r="H35" s="1013"/>
      <c r="I35" s="1014">
        <v>737500</v>
      </c>
      <c r="J35" s="1014">
        <v>0</v>
      </c>
      <c r="K35" s="1014">
        <v>737500</v>
      </c>
      <c r="L35" s="153" t="str">
        <f t="shared" si="0"/>
        <v>372</v>
      </c>
      <c r="M35" s="154" t="str">
        <f t="shared" si="1"/>
        <v>FONDS DE ROULEMENT/MIN. REQUIS</v>
      </c>
      <c r="N35" s="155">
        <f>+IF(OR($Q35=Parametres!$G$2,$Q35=Parametres!$G$3),I35,C35)</f>
        <v>737500</v>
      </c>
      <c r="O35" s="155">
        <f>+IF(OR($Q35=Parametres!$G$2,$Q35=Parametres!$G$3),J35,D35)</f>
        <v>0</v>
      </c>
      <c r="P35" s="155">
        <f>+IF(OR($Q35=Parametres!$G$2,$Q35=Parametres!$G$3),K35,E35)</f>
        <v>737500</v>
      </c>
      <c r="Q35" s="154" t="str">
        <f t="shared" si="4"/>
        <v>1-Mémo</v>
      </c>
      <c r="R35" s="153" t="str">
        <f t="shared" si="4"/>
        <v>37</v>
      </c>
      <c r="S35" s="154">
        <f t="shared" si="4"/>
        <v>0</v>
      </c>
      <c r="T35" s="156" t="str">
        <f>+VLOOKUP($L35,Data_Validation!$A:$D,1,0)</f>
        <v>372</v>
      </c>
      <c r="U35" s="156">
        <f>+VLOOKUP($L35,Data_Validation!$A:$D,3,0)</f>
        <v>0</v>
      </c>
      <c r="V35" s="156">
        <f>+VLOOKUP($L35,Data_Validation!$A:$D,4,0)</f>
        <v>0</v>
      </c>
      <c r="W35" s="156">
        <f>+VLOOKUP($L35,Data_Validation!$A:$E,5,0)</f>
        <v>0</v>
      </c>
      <c r="X35" s="156">
        <f>+VLOOKUP($L35,Data_Validation!$A:$F,6,0)</f>
        <v>0</v>
      </c>
    </row>
    <row r="36" spans="1:24" ht="15" hidden="1" customHeight="1">
      <c r="A36" s="1012" t="s">
        <v>2283</v>
      </c>
      <c r="B36" s="1012" t="s">
        <v>2284</v>
      </c>
      <c r="C36" s="1013"/>
      <c r="D36" s="1013"/>
      <c r="E36" s="1013"/>
      <c r="F36" s="1012" t="s">
        <v>1</v>
      </c>
      <c r="G36" s="1012" t="s">
        <v>2213</v>
      </c>
      <c r="H36" s="1013"/>
      <c r="I36" s="1014">
        <v>0.66</v>
      </c>
      <c r="J36" s="1014">
        <v>0</v>
      </c>
      <c r="K36" s="1014">
        <v>0.66</v>
      </c>
      <c r="L36" s="153" t="str">
        <f t="shared" si="0"/>
        <v>401</v>
      </c>
      <c r="M36" s="154" t="str">
        <f t="shared" si="1"/>
        <v>UNITES NEUVES VENDUES JANVIER</v>
      </c>
      <c r="N36" s="155">
        <f>+IF(OR($Q36=Parametres!$G$2,$Q36=Parametres!$G$3),I36,C36)</f>
        <v>0.66</v>
      </c>
      <c r="O36" s="575">
        <f>+IF(OR($Q36=Parametres!$G$2,$Q36=Parametres!$G$3),J36,D36)</f>
        <v>0</v>
      </c>
      <c r="P36" s="155">
        <f>+IF(OR($Q36=Parametres!$G$2,$Q36=Parametres!$G$3),K36,E36)</f>
        <v>0.66</v>
      </c>
      <c r="Q36" s="154" t="str">
        <f t="shared" si="4"/>
        <v>1-Mémo</v>
      </c>
      <c r="R36" s="153" t="str">
        <f t="shared" si="4"/>
        <v>40</v>
      </c>
      <c r="S36" s="154">
        <f t="shared" si="4"/>
        <v>0</v>
      </c>
      <c r="T36" s="156" t="str">
        <f>+VLOOKUP($L36,Data_Validation!$A:$D,1,0)</f>
        <v>401</v>
      </c>
      <c r="U36" s="156">
        <f>+VLOOKUP($L36,Data_Validation!$A:$D,3,0)</f>
        <v>0</v>
      </c>
      <c r="V36" s="156">
        <f>+VLOOKUP($L36,Data_Validation!$A:$D,4,0)</f>
        <v>0</v>
      </c>
      <c r="W36" s="156">
        <f>+VLOOKUP($L36,Data_Validation!$A:$E,5,0)</f>
        <v>0</v>
      </c>
      <c r="X36" s="156">
        <f>+VLOOKUP($L36,Data_Validation!$A:$F,6,0)</f>
        <v>0</v>
      </c>
    </row>
    <row r="37" spans="1:24" ht="15" hidden="1" customHeight="1">
      <c r="A37" s="1012" t="s">
        <v>2285</v>
      </c>
      <c r="B37" s="1012" t="s">
        <v>2286</v>
      </c>
      <c r="C37" s="1013"/>
      <c r="D37" s="1013"/>
      <c r="E37" s="1013"/>
      <c r="F37" s="1012" t="s">
        <v>1</v>
      </c>
      <c r="G37" s="1012" t="s">
        <v>2213</v>
      </c>
      <c r="H37" s="1013"/>
      <c r="I37" s="1014">
        <v>0.5</v>
      </c>
      <c r="J37" s="1014">
        <v>0</v>
      </c>
      <c r="K37" s="1014">
        <v>0.5</v>
      </c>
      <c r="L37" s="153" t="str">
        <f t="shared" si="0"/>
        <v>402</v>
      </c>
      <c r="M37" s="154" t="str">
        <f t="shared" si="1"/>
        <v>UNITES NEUVES VENDUES FEVRIER</v>
      </c>
      <c r="N37" s="155">
        <f>+IF(OR($Q37=Parametres!$G$2,$Q37=Parametres!$G$3),I37,C37)</f>
        <v>0.5</v>
      </c>
      <c r="O37" s="155">
        <f>+IF(OR($Q37=Parametres!$G$2,$Q37=Parametres!$G$3),J37,D37)</f>
        <v>0</v>
      </c>
      <c r="P37" s="155">
        <f>+IF(OR($Q37=Parametres!$G$2,$Q37=Parametres!$G$3),K37,E37)</f>
        <v>0.5</v>
      </c>
      <c r="Q37" s="154" t="str">
        <f t="shared" si="4"/>
        <v>1-Mémo</v>
      </c>
      <c r="R37" s="153" t="str">
        <f t="shared" si="4"/>
        <v>40</v>
      </c>
      <c r="S37" s="154">
        <f t="shared" si="4"/>
        <v>0</v>
      </c>
      <c r="T37" s="156" t="str">
        <f>+VLOOKUP($L37,Data_Validation!$A:$D,1,0)</f>
        <v>402</v>
      </c>
      <c r="U37" s="156">
        <f>+VLOOKUP($L37,Data_Validation!$A:$D,3,0)</f>
        <v>0</v>
      </c>
      <c r="V37" s="156">
        <f>+VLOOKUP($L37,Data_Validation!$A:$D,4,0)</f>
        <v>0</v>
      </c>
      <c r="W37" s="156">
        <f>+VLOOKUP($L37,Data_Validation!$A:$E,5,0)</f>
        <v>0</v>
      </c>
      <c r="X37" s="156">
        <f>+VLOOKUP($L37,Data_Validation!$A:$F,6,0)</f>
        <v>0</v>
      </c>
    </row>
    <row r="38" spans="1:24" ht="15" hidden="1" customHeight="1">
      <c r="A38" s="1012" t="s">
        <v>2287</v>
      </c>
      <c r="B38" s="1012" t="s">
        <v>2288</v>
      </c>
      <c r="C38" s="1013"/>
      <c r="D38" s="1013"/>
      <c r="E38" s="1013"/>
      <c r="F38" s="1012" t="s">
        <v>1</v>
      </c>
      <c r="G38" s="1012" t="s">
        <v>2213</v>
      </c>
      <c r="H38" s="1013"/>
      <c r="I38" s="1014">
        <v>0.78</v>
      </c>
      <c r="J38" s="1014">
        <v>0</v>
      </c>
      <c r="K38" s="1014">
        <v>0.78</v>
      </c>
      <c r="L38" s="153" t="str">
        <f t="shared" si="0"/>
        <v>403</v>
      </c>
      <c r="M38" s="154" t="str">
        <f t="shared" si="1"/>
        <v>UNITES NEUVES VENDUES MARS</v>
      </c>
      <c r="N38" s="155">
        <f>+IF(OR($Q38=Parametres!$G$2,$Q38=Parametres!$G$3),I38,C38)</f>
        <v>0.78</v>
      </c>
      <c r="O38" s="575">
        <f>+IF(OR($Q38=Parametres!$G$2,$Q38=Parametres!$G$3),J38,D38)</f>
        <v>0</v>
      </c>
      <c r="P38" s="155">
        <f>+IF(OR($Q38=Parametres!$G$2,$Q38=Parametres!$G$3),K38,E38)</f>
        <v>0.78</v>
      </c>
      <c r="Q38" s="154" t="str">
        <f t="shared" si="4"/>
        <v>1-Mémo</v>
      </c>
      <c r="R38" s="153" t="str">
        <f t="shared" si="4"/>
        <v>40</v>
      </c>
      <c r="S38" s="154">
        <f t="shared" si="4"/>
        <v>0</v>
      </c>
      <c r="T38" s="156" t="str">
        <f>+VLOOKUP($L38,Data_Validation!$A:$D,1,0)</f>
        <v>403</v>
      </c>
      <c r="U38" s="156">
        <f>+VLOOKUP($L38,Data_Validation!$A:$D,3,0)</f>
        <v>0</v>
      </c>
      <c r="V38" s="156">
        <f>+VLOOKUP($L38,Data_Validation!$A:$D,4,0)</f>
        <v>0</v>
      </c>
      <c r="W38" s="156">
        <f>+VLOOKUP($L38,Data_Validation!$A:$E,5,0)</f>
        <v>0</v>
      </c>
      <c r="X38" s="156">
        <f>+VLOOKUP($L38,Data_Validation!$A:$F,6,0)</f>
        <v>0</v>
      </c>
    </row>
    <row r="39" spans="1:24" ht="15" hidden="1" customHeight="1">
      <c r="A39" s="1012" t="s">
        <v>2289</v>
      </c>
      <c r="B39" s="1012" t="s">
        <v>2290</v>
      </c>
      <c r="C39" s="1013"/>
      <c r="D39" s="1013"/>
      <c r="E39" s="1013"/>
      <c r="F39" s="1012" t="s">
        <v>1</v>
      </c>
      <c r="G39" s="1012" t="s">
        <v>2213</v>
      </c>
      <c r="H39" s="1013"/>
      <c r="I39" s="1014">
        <v>0.84</v>
      </c>
      <c r="J39" s="1014">
        <v>0</v>
      </c>
      <c r="K39" s="1014">
        <v>0.84</v>
      </c>
      <c r="L39" s="153" t="str">
        <f t="shared" si="0"/>
        <v>404</v>
      </c>
      <c r="M39" s="154" t="str">
        <f t="shared" si="1"/>
        <v>UNITES NEUVES VENDUES AVRIL</v>
      </c>
      <c r="N39" s="155">
        <f>+IF(OR($Q39=Parametres!$G$2,$Q39=Parametres!$G$3),I39,C39)</f>
        <v>0.84</v>
      </c>
      <c r="O39" s="577">
        <f>+IF(OR($Q39=Parametres!$G$2,$Q39=Parametres!$G$3),J39,D39)</f>
        <v>0</v>
      </c>
      <c r="P39" s="155">
        <f>+IF(OR($Q39=Parametres!$G$2,$Q39=Parametres!$G$3),K39,E39)</f>
        <v>0.84</v>
      </c>
      <c r="Q39" s="154" t="str">
        <f t="shared" si="4"/>
        <v>1-Mémo</v>
      </c>
      <c r="R39" s="153" t="str">
        <f t="shared" si="4"/>
        <v>40</v>
      </c>
      <c r="S39" s="154">
        <f t="shared" si="4"/>
        <v>0</v>
      </c>
      <c r="T39" s="156" t="str">
        <f>+VLOOKUP($L39,Data_Validation!$A:$D,1,0)</f>
        <v>404</v>
      </c>
      <c r="U39" s="156">
        <f>+VLOOKUP($L39,Data_Validation!$A:$D,3,0)</f>
        <v>0</v>
      </c>
      <c r="V39" s="156">
        <f>+VLOOKUP($L39,Data_Validation!$A:$D,4,0)</f>
        <v>0</v>
      </c>
      <c r="W39" s="156">
        <f>+VLOOKUP($L39,Data_Validation!$A:$E,5,0)</f>
        <v>0</v>
      </c>
      <c r="X39" s="156">
        <f>+VLOOKUP($L39,Data_Validation!$A:$F,6,0)</f>
        <v>0</v>
      </c>
    </row>
    <row r="40" spans="1:24" ht="15.75" hidden="1" customHeight="1">
      <c r="A40" s="1012" t="s">
        <v>2291</v>
      </c>
      <c r="B40" s="1012" t="s">
        <v>2292</v>
      </c>
      <c r="C40" s="1013"/>
      <c r="D40" s="1013"/>
      <c r="E40" s="1013"/>
      <c r="F40" s="1012" t="s">
        <v>1</v>
      </c>
      <c r="G40" s="1012" t="s">
        <v>2213</v>
      </c>
      <c r="H40" s="1013"/>
      <c r="I40" s="1014">
        <v>0.91</v>
      </c>
      <c r="J40" s="1014">
        <v>0</v>
      </c>
      <c r="K40" s="1014">
        <v>0.91</v>
      </c>
      <c r="L40" s="153" t="str">
        <f t="shared" si="0"/>
        <v>405</v>
      </c>
      <c r="M40" s="154" t="str">
        <f t="shared" si="1"/>
        <v>UNITES NEUVES VENDUES MAI</v>
      </c>
      <c r="N40" s="155">
        <f>+IF(OR($Q40=Parametres!$G$2,$Q40=Parametres!$G$3),I40,C40)</f>
        <v>0.91</v>
      </c>
      <c r="O40" s="576">
        <f>+IF(OR($Q40=Parametres!$G$2,$Q40=Parametres!$G$3),J40,D40)</f>
        <v>0</v>
      </c>
      <c r="P40" s="155">
        <f>+IF(OR($Q40=Parametres!$G$2,$Q40=Parametres!$G$3),K40,E40)</f>
        <v>0.91</v>
      </c>
      <c r="Q40" s="154" t="str">
        <f t="shared" si="4"/>
        <v>1-Mémo</v>
      </c>
      <c r="R40" s="153" t="str">
        <f t="shared" si="4"/>
        <v>40</v>
      </c>
      <c r="S40" s="154">
        <f t="shared" si="4"/>
        <v>0</v>
      </c>
      <c r="T40" s="156" t="str">
        <f>+VLOOKUP($L40,Data_Validation!$A:$D,1,0)</f>
        <v>405</v>
      </c>
      <c r="U40" s="156">
        <f>+VLOOKUP($L40,Data_Validation!$A:$D,3,0)</f>
        <v>0</v>
      </c>
      <c r="V40" s="156">
        <f>+VLOOKUP($L40,Data_Validation!$A:$D,4,0)</f>
        <v>0</v>
      </c>
      <c r="W40" s="156">
        <f>+VLOOKUP($L40,Data_Validation!$A:$E,5,0)</f>
        <v>0</v>
      </c>
      <c r="X40" s="156">
        <f>+VLOOKUP($L40,Data_Validation!$A:$F,6,0)</f>
        <v>0</v>
      </c>
    </row>
    <row r="41" spans="1:24" ht="15" hidden="1" customHeight="1">
      <c r="A41" s="1012" t="s">
        <v>2293</v>
      </c>
      <c r="B41" s="1012" t="s">
        <v>2294</v>
      </c>
      <c r="C41" s="1013"/>
      <c r="D41" s="1013"/>
      <c r="E41" s="1013"/>
      <c r="F41" s="1012" t="s">
        <v>1</v>
      </c>
      <c r="G41" s="1012" t="s">
        <v>2213</v>
      </c>
      <c r="H41" s="1013"/>
      <c r="I41" s="1014">
        <v>0.74</v>
      </c>
      <c r="J41" s="1014">
        <v>0</v>
      </c>
      <c r="K41" s="1014">
        <v>0.74</v>
      </c>
      <c r="L41" s="153" t="str">
        <f t="shared" si="0"/>
        <v>406</v>
      </c>
      <c r="M41" s="154" t="str">
        <f t="shared" si="1"/>
        <v>UNITES NEUVES VENDUES JUIN</v>
      </c>
      <c r="N41" s="155">
        <f>+IF(OR($Q41=Parametres!$G$2,$Q41=Parametres!$G$3),I41,C41)</f>
        <v>0.74</v>
      </c>
      <c r="O41" s="575">
        <f>+IF(OR($Q41=Parametres!$G$2,$Q41=Parametres!$G$3),J41,D41)</f>
        <v>0</v>
      </c>
      <c r="P41" s="155">
        <f>+IF(OR($Q41=Parametres!$G$2,$Q41=Parametres!$G$3),K41,E41)</f>
        <v>0.74</v>
      </c>
      <c r="Q41" s="154" t="str">
        <f t="shared" si="4"/>
        <v>1-Mémo</v>
      </c>
      <c r="R41" s="153" t="str">
        <f t="shared" si="4"/>
        <v>40</v>
      </c>
      <c r="S41" s="154">
        <f t="shared" si="4"/>
        <v>0</v>
      </c>
      <c r="T41" s="156" t="str">
        <f>+VLOOKUP($L41,Data_Validation!$A:$D,1,0)</f>
        <v>406</v>
      </c>
      <c r="U41" s="156">
        <f>+VLOOKUP($L41,Data_Validation!$A:$D,3,0)</f>
        <v>0</v>
      </c>
      <c r="V41" s="156">
        <f>+VLOOKUP($L41,Data_Validation!$A:$D,4,0)</f>
        <v>0</v>
      </c>
      <c r="W41" s="156">
        <f>+VLOOKUP($L41,Data_Validation!$A:$E,5,0)</f>
        <v>0</v>
      </c>
      <c r="X41" s="156">
        <f>+VLOOKUP($L41,Data_Validation!$A:$F,6,0)</f>
        <v>0</v>
      </c>
    </row>
    <row r="42" spans="1:24" ht="15" hidden="1" customHeight="1">
      <c r="A42" s="1012" t="s">
        <v>2295</v>
      </c>
      <c r="B42" s="1012" t="s">
        <v>2296</v>
      </c>
      <c r="C42" s="1013"/>
      <c r="D42" s="1013"/>
      <c r="E42" s="1013"/>
      <c r="F42" s="1012" t="s">
        <v>1</v>
      </c>
      <c r="G42" s="1012" t="s">
        <v>2213</v>
      </c>
      <c r="H42" s="1013"/>
      <c r="I42" s="1014">
        <v>0</v>
      </c>
      <c r="J42" s="1014">
        <v>0.61</v>
      </c>
      <c r="K42" s="1014">
        <v>0.61</v>
      </c>
      <c r="L42" s="153" t="str">
        <f t="shared" si="0"/>
        <v>407</v>
      </c>
      <c r="M42" s="154" t="str">
        <f t="shared" si="1"/>
        <v>UNITES NEUVES VENDUES JUILLET</v>
      </c>
      <c r="N42" s="155">
        <f>+IF(OR($Q42=Parametres!$G$2,$Q42=Parametres!$G$3),I42,C42)</f>
        <v>0</v>
      </c>
      <c r="O42" s="576">
        <f>+IF(OR($Q42=Parametres!$G$2,$Q42=Parametres!$G$3),J42,D42)</f>
        <v>0.61</v>
      </c>
      <c r="P42" s="155">
        <f>+IF(OR($Q42=Parametres!$G$2,$Q42=Parametres!$G$3),K42,E42)</f>
        <v>0.61</v>
      </c>
      <c r="Q42" s="154" t="str">
        <f t="shared" si="4"/>
        <v>1-Mémo</v>
      </c>
      <c r="R42" s="153" t="str">
        <f t="shared" si="4"/>
        <v>40</v>
      </c>
      <c r="S42" s="154">
        <f t="shared" si="4"/>
        <v>0</v>
      </c>
      <c r="T42" s="156" t="str">
        <f>+VLOOKUP($L42,Data_Validation!$A:$D,1,0)</f>
        <v>407</v>
      </c>
      <c r="U42" s="156">
        <f>+VLOOKUP($L42,Data_Validation!$A:$D,3,0)</f>
        <v>0</v>
      </c>
      <c r="V42" s="156">
        <f>+VLOOKUP($L42,Data_Validation!$A:$D,4,0)</f>
        <v>0</v>
      </c>
      <c r="W42" s="156">
        <f>+VLOOKUP($L42,Data_Validation!$A:$E,5,0)</f>
        <v>0</v>
      </c>
      <c r="X42" s="156">
        <f>+VLOOKUP($L42,Data_Validation!$A:$F,6,0)</f>
        <v>0</v>
      </c>
    </row>
    <row r="43" spans="1:24" ht="15" hidden="1" customHeight="1">
      <c r="A43" s="1012" t="s">
        <v>2304</v>
      </c>
      <c r="B43" s="1012" t="s">
        <v>2305</v>
      </c>
      <c r="C43" s="1013"/>
      <c r="D43" s="1013"/>
      <c r="E43" s="1013"/>
      <c r="F43" s="1012" t="s">
        <v>1</v>
      </c>
      <c r="G43" s="1012" t="s">
        <v>2306</v>
      </c>
      <c r="H43" s="1013"/>
      <c r="I43" s="1014">
        <v>0.18</v>
      </c>
      <c r="J43" s="1014">
        <v>0</v>
      </c>
      <c r="K43" s="1014">
        <v>0.18</v>
      </c>
      <c r="L43" s="153" t="str">
        <f t="shared" si="0"/>
        <v>421</v>
      </c>
      <c r="M43" s="154" t="str">
        <f t="shared" si="1"/>
        <v>UNITES USAGES DET./ JANV.</v>
      </c>
      <c r="N43" s="155">
        <f>+IF(OR($Q43=Parametres!$G$2,$Q43=Parametres!$G$3),I43,C43)</f>
        <v>0.18</v>
      </c>
      <c r="O43" s="576">
        <f>+IF(OR($Q43=Parametres!$G$2,$Q43=Parametres!$G$3),J43,D43)</f>
        <v>0</v>
      </c>
      <c r="P43" s="155">
        <f>+IF(OR($Q43=Parametres!$G$2,$Q43=Parametres!$G$3),K43,E43)</f>
        <v>0.18</v>
      </c>
      <c r="Q43" s="154" t="str">
        <f t="shared" si="4"/>
        <v>1-Mémo</v>
      </c>
      <c r="R43" s="153" t="str">
        <f t="shared" si="4"/>
        <v>42</v>
      </c>
      <c r="S43" s="154">
        <f t="shared" si="4"/>
        <v>0</v>
      </c>
      <c r="T43" s="156" t="str">
        <f>+VLOOKUP($L43,Data_Validation!$A:$D,1,0)</f>
        <v>421</v>
      </c>
      <c r="U43" s="156">
        <f>+VLOOKUP($L43,Data_Validation!$A:$D,3,0)</f>
        <v>0</v>
      </c>
      <c r="V43" s="156">
        <f>+VLOOKUP($L43,Data_Validation!$A:$D,4,0)</f>
        <v>0</v>
      </c>
      <c r="W43" s="156">
        <f>+VLOOKUP($L43,Data_Validation!$A:$E,5,0)</f>
        <v>0</v>
      </c>
      <c r="X43" s="156">
        <f>+VLOOKUP($L43,Data_Validation!$A:$F,6,0)</f>
        <v>0</v>
      </c>
    </row>
    <row r="44" spans="1:24" ht="15.75" hidden="1" customHeight="1">
      <c r="A44" s="1012" t="s">
        <v>2307</v>
      </c>
      <c r="B44" s="1012" t="s">
        <v>2308</v>
      </c>
      <c r="C44" s="1013"/>
      <c r="D44" s="1013"/>
      <c r="E44" s="1013"/>
      <c r="F44" s="1012" t="s">
        <v>1</v>
      </c>
      <c r="G44" s="1012" t="s">
        <v>2306</v>
      </c>
      <c r="H44" s="1013"/>
      <c r="I44" s="1014">
        <v>0.28000000000000003</v>
      </c>
      <c r="J44" s="1014">
        <v>0</v>
      </c>
      <c r="K44" s="1014">
        <v>0.28000000000000003</v>
      </c>
      <c r="L44" s="153" t="str">
        <f t="shared" si="0"/>
        <v>422</v>
      </c>
      <c r="M44" s="154" t="str">
        <f t="shared" si="1"/>
        <v>UNITES USAGES DET./ FEVR.</v>
      </c>
      <c r="N44" s="155">
        <f>+IF(OR($Q44=Parametres!$G$2,$Q44=Parametres!$G$3),I44,C44)</f>
        <v>0.28000000000000003</v>
      </c>
      <c r="O44" s="576">
        <f>+IF(OR($Q44=Parametres!$G$2,$Q44=Parametres!$G$3),J44,D44)</f>
        <v>0</v>
      </c>
      <c r="P44" s="155">
        <f>+IF(OR($Q44=Parametres!$G$2,$Q44=Parametres!$G$3),K44,E44)</f>
        <v>0.28000000000000003</v>
      </c>
      <c r="Q44" s="154" t="str">
        <f t="shared" si="4"/>
        <v>1-Mémo</v>
      </c>
      <c r="R44" s="153" t="str">
        <f t="shared" si="4"/>
        <v>42</v>
      </c>
      <c r="S44" s="154">
        <f t="shared" si="4"/>
        <v>0</v>
      </c>
      <c r="T44" s="156" t="str">
        <f>+VLOOKUP($L44,Data_Validation!$A:$D,1,0)</f>
        <v>422</v>
      </c>
      <c r="U44" s="156">
        <f>+VLOOKUP($L44,Data_Validation!$A:$D,3,0)</f>
        <v>0</v>
      </c>
      <c r="V44" s="156">
        <f>+VLOOKUP($L44,Data_Validation!$A:$D,4,0)</f>
        <v>0</v>
      </c>
      <c r="W44" s="156">
        <f>+VLOOKUP($L44,Data_Validation!$A:$E,5,0)</f>
        <v>0</v>
      </c>
      <c r="X44" s="156">
        <f>+VLOOKUP($L44,Data_Validation!$A:$F,6,0)</f>
        <v>0</v>
      </c>
    </row>
    <row r="45" spans="1:24" ht="15" hidden="1" customHeight="1">
      <c r="A45" s="1012" t="s">
        <v>2309</v>
      </c>
      <c r="B45" s="1012" t="s">
        <v>2310</v>
      </c>
      <c r="C45" s="1013"/>
      <c r="D45" s="1013"/>
      <c r="E45" s="1013"/>
      <c r="F45" s="1012" t="s">
        <v>1</v>
      </c>
      <c r="G45" s="1012" t="s">
        <v>2306</v>
      </c>
      <c r="H45" s="1013"/>
      <c r="I45" s="1014">
        <v>0.33</v>
      </c>
      <c r="J45" s="1014">
        <v>0</v>
      </c>
      <c r="K45" s="1014">
        <v>0.33</v>
      </c>
      <c r="L45" s="153" t="str">
        <f t="shared" si="0"/>
        <v>423</v>
      </c>
      <c r="M45" s="154" t="str">
        <f t="shared" si="1"/>
        <v>UNITES USAGES DET./ MARS</v>
      </c>
      <c r="N45" s="155">
        <f>+IF(OR($Q45=Parametres!$G$2,$Q45=Parametres!$G$3),I45,C45)</f>
        <v>0.33</v>
      </c>
      <c r="O45" s="576">
        <f>+IF(OR($Q45=Parametres!$G$2,$Q45=Parametres!$G$3),J45,D45)</f>
        <v>0</v>
      </c>
      <c r="P45" s="155">
        <f>+IF(OR($Q45=Parametres!$G$2,$Q45=Parametres!$G$3),K45,E45)</f>
        <v>0.33</v>
      </c>
      <c r="Q45" s="154" t="str">
        <f t="shared" si="4"/>
        <v>1-Mémo</v>
      </c>
      <c r="R45" s="153" t="str">
        <f t="shared" si="4"/>
        <v>42</v>
      </c>
      <c r="S45" s="154">
        <f t="shared" si="4"/>
        <v>0</v>
      </c>
      <c r="T45" s="156" t="str">
        <f>+VLOOKUP($L45,Data_Validation!$A:$D,1,0)</f>
        <v>423</v>
      </c>
      <c r="U45" s="156">
        <f>+VLOOKUP($L45,Data_Validation!$A:$D,3,0)</f>
        <v>0</v>
      </c>
      <c r="V45" s="156">
        <f>+VLOOKUP($L45,Data_Validation!$A:$D,4,0)</f>
        <v>0</v>
      </c>
      <c r="W45" s="156">
        <f>+VLOOKUP($L45,Data_Validation!$A:$E,5,0)</f>
        <v>0</v>
      </c>
      <c r="X45" s="156">
        <f>+VLOOKUP($L45,Data_Validation!$A:$F,6,0)</f>
        <v>0</v>
      </c>
    </row>
    <row r="46" spans="1:24" ht="15" hidden="1" customHeight="1">
      <c r="A46" s="1012" t="s">
        <v>2311</v>
      </c>
      <c r="B46" s="1012" t="s">
        <v>2312</v>
      </c>
      <c r="C46" s="1013"/>
      <c r="D46" s="1013"/>
      <c r="E46" s="1013"/>
      <c r="F46" s="1012" t="s">
        <v>1</v>
      </c>
      <c r="G46" s="1012" t="s">
        <v>2306</v>
      </c>
      <c r="H46" s="1013"/>
      <c r="I46" s="1014">
        <v>0.39</v>
      </c>
      <c r="J46" s="1014">
        <v>0</v>
      </c>
      <c r="K46" s="1014">
        <v>0.39</v>
      </c>
      <c r="L46" s="153" t="str">
        <f t="shared" si="0"/>
        <v>424</v>
      </c>
      <c r="M46" s="154" t="str">
        <f t="shared" si="1"/>
        <v>UNITES USAGES DET./ AVRIL</v>
      </c>
      <c r="N46" s="155">
        <f>+IF(OR($Q46=Parametres!$G$2,$Q46=Parametres!$G$3),I46,C46)</f>
        <v>0.39</v>
      </c>
      <c r="O46" s="576">
        <f>+IF(OR($Q46=Parametres!$G$2,$Q46=Parametres!$G$3),J46,D46)</f>
        <v>0</v>
      </c>
      <c r="P46" s="155">
        <f>+IF(OR($Q46=Parametres!$G$2,$Q46=Parametres!$G$3),K46,E46)</f>
        <v>0.39</v>
      </c>
      <c r="Q46" s="154" t="str">
        <f t="shared" si="4"/>
        <v>1-Mémo</v>
      </c>
      <c r="R46" s="153" t="str">
        <f t="shared" si="4"/>
        <v>42</v>
      </c>
      <c r="S46" s="154">
        <f t="shared" si="4"/>
        <v>0</v>
      </c>
      <c r="T46" s="156" t="str">
        <f>+VLOOKUP($L46,Data_Validation!$A:$D,1,0)</f>
        <v>424</v>
      </c>
      <c r="U46" s="156">
        <f>+VLOOKUP($L46,Data_Validation!$A:$D,3,0)</f>
        <v>0</v>
      </c>
      <c r="V46" s="156">
        <f>+VLOOKUP($L46,Data_Validation!$A:$D,4,0)</f>
        <v>0</v>
      </c>
      <c r="W46" s="156">
        <f>+VLOOKUP($L46,Data_Validation!$A:$E,5,0)</f>
        <v>0</v>
      </c>
      <c r="X46" s="156">
        <f>+VLOOKUP($L46,Data_Validation!$A:$F,6,0)</f>
        <v>0</v>
      </c>
    </row>
    <row r="47" spans="1:24" ht="15" hidden="1" customHeight="1">
      <c r="A47" s="1012" t="s">
        <v>2313</v>
      </c>
      <c r="B47" s="1012" t="s">
        <v>2314</v>
      </c>
      <c r="C47" s="1013"/>
      <c r="D47" s="1013"/>
      <c r="E47" s="1013"/>
      <c r="F47" s="1012" t="s">
        <v>1</v>
      </c>
      <c r="G47" s="1012" t="s">
        <v>2306</v>
      </c>
      <c r="H47" s="1013"/>
      <c r="I47" s="1014">
        <v>0.38</v>
      </c>
      <c r="J47" s="1014">
        <v>0</v>
      </c>
      <c r="K47" s="1014">
        <v>0.38</v>
      </c>
      <c r="L47" s="153" t="str">
        <f t="shared" si="0"/>
        <v>425</v>
      </c>
      <c r="M47" s="154" t="str">
        <f t="shared" si="1"/>
        <v>UNITES USAGES DET./ MAI</v>
      </c>
      <c r="N47" s="155">
        <f>+IF(OR($Q47=Parametres!$G$2,$Q47=Parametres!$G$3),I47,C47)</f>
        <v>0.38</v>
      </c>
      <c r="O47" s="155">
        <f>+IF(OR($Q47=Parametres!$G$2,$Q47=Parametres!$G$3),J47,D47)</f>
        <v>0</v>
      </c>
      <c r="P47" s="155">
        <f>+IF(OR($Q47=Parametres!$G$2,$Q47=Parametres!$G$3),K47,E47)</f>
        <v>0.38</v>
      </c>
      <c r="Q47" s="154" t="str">
        <f t="shared" si="4"/>
        <v>1-Mémo</v>
      </c>
      <c r="R47" s="153" t="str">
        <f t="shared" si="4"/>
        <v>42</v>
      </c>
      <c r="S47" s="154">
        <f t="shared" si="4"/>
        <v>0</v>
      </c>
      <c r="T47" s="156" t="str">
        <f>+VLOOKUP($L47,Data_Validation!$A:$D,1,0)</f>
        <v>425</v>
      </c>
      <c r="U47" s="156">
        <f>+VLOOKUP($L47,Data_Validation!$A:$D,3,0)</f>
        <v>0</v>
      </c>
      <c r="V47" s="156">
        <f>+VLOOKUP($L47,Data_Validation!$A:$D,4,0)</f>
        <v>0</v>
      </c>
      <c r="W47" s="156">
        <f>+VLOOKUP($L47,Data_Validation!$A:$E,5,0)</f>
        <v>0</v>
      </c>
      <c r="X47" s="156">
        <f>+VLOOKUP($L47,Data_Validation!$A:$F,6,0)</f>
        <v>0</v>
      </c>
    </row>
    <row r="48" spans="1:24" ht="15.75" hidden="1" customHeight="1">
      <c r="A48" s="1012" t="s">
        <v>2315</v>
      </c>
      <c r="B48" s="1012" t="s">
        <v>2316</v>
      </c>
      <c r="C48" s="1013"/>
      <c r="D48" s="1013"/>
      <c r="E48" s="1013"/>
      <c r="F48" s="1012" t="s">
        <v>1</v>
      </c>
      <c r="G48" s="1012" t="s">
        <v>2306</v>
      </c>
      <c r="H48" s="1013"/>
      <c r="I48" s="1014">
        <v>0.38</v>
      </c>
      <c r="J48" s="1014">
        <v>0</v>
      </c>
      <c r="K48" s="1014">
        <v>0.38</v>
      </c>
      <c r="L48" s="153" t="str">
        <f t="shared" si="0"/>
        <v>426</v>
      </c>
      <c r="M48" s="154" t="str">
        <f t="shared" si="1"/>
        <v>UNITES USAGES DET./ JUIN</v>
      </c>
      <c r="N48" s="155">
        <f>+IF(OR($Q48=Parametres!$G$2,$Q48=Parametres!$G$3),I48,C48)</f>
        <v>0.38</v>
      </c>
      <c r="O48" s="155">
        <f>+IF(OR($Q48=Parametres!$G$2,$Q48=Parametres!$G$3),J48,D48)</f>
        <v>0</v>
      </c>
      <c r="P48" s="155">
        <f>+IF(OR($Q48=Parametres!$G$2,$Q48=Parametres!$G$3),K48,E48)</f>
        <v>0.38</v>
      </c>
      <c r="Q48" s="154" t="str">
        <f t="shared" si="4"/>
        <v>1-Mémo</v>
      </c>
      <c r="R48" s="153" t="str">
        <f t="shared" si="4"/>
        <v>42</v>
      </c>
      <c r="S48" s="154">
        <f t="shared" si="4"/>
        <v>0</v>
      </c>
      <c r="T48" s="156" t="str">
        <f>+VLOOKUP($L48,Data_Validation!$A:$D,1,0)</f>
        <v>426</v>
      </c>
      <c r="U48" s="156">
        <f>+VLOOKUP($L48,Data_Validation!$A:$D,3,0)</f>
        <v>0</v>
      </c>
      <c r="V48" s="156">
        <f>+VLOOKUP($L48,Data_Validation!$A:$D,4,0)</f>
        <v>0</v>
      </c>
      <c r="W48" s="156">
        <f>+VLOOKUP($L48,Data_Validation!$A:$E,5,0)</f>
        <v>0</v>
      </c>
      <c r="X48" s="156">
        <f>+VLOOKUP($L48,Data_Validation!$A:$F,6,0)</f>
        <v>0</v>
      </c>
    </row>
    <row r="49" spans="1:24" ht="15" hidden="1" customHeight="1">
      <c r="A49" s="1012" t="s">
        <v>2317</v>
      </c>
      <c r="B49" s="1012" t="s">
        <v>2318</v>
      </c>
      <c r="C49" s="1013"/>
      <c r="D49" s="1013"/>
      <c r="E49" s="1013"/>
      <c r="F49" s="1012" t="s">
        <v>1</v>
      </c>
      <c r="G49" s="1012" t="s">
        <v>2306</v>
      </c>
      <c r="H49" s="1013"/>
      <c r="I49" s="1014">
        <v>0</v>
      </c>
      <c r="J49" s="1014">
        <v>0.42</v>
      </c>
      <c r="K49" s="1014">
        <v>0.42</v>
      </c>
      <c r="L49" s="153" t="str">
        <f t="shared" si="0"/>
        <v>427</v>
      </c>
      <c r="M49" s="154" t="str">
        <f t="shared" si="1"/>
        <v>UNITES USAGES DET./ JUILLET</v>
      </c>
      <c r="N49" s="155">
        <f>+IF(OR($Q49=Parametres!$G$2,$Q49=Parametres!$G$3),I49,C49)</f>
        <v>0</v>
      </c>
      <c r="O49" s="575">
        <f>+IF(OR($Q49=Parametres!$G$2,$Q49=Parametres!$G$3),J49,D49)</f>
        <v>0.42</v>
      </c>
      <c r="P49" s="155">
        <f>+IF(OR($Q49=Parametres!$G$2,$Q49=Parametres!$G$3),K49,E49)</f>
        <v>0.42</v>
      </c>
      <c r="Q49" s="154" t="str">
        <f t="shared" si="4"/>
        <v>1-Mémo</v>
      </c>
      <c r="R49" s="153" t="str">
        <f t="shared" si="4"/>
        <v>42</v>
      </c>
      <c r="S49" s="154">
        <f t="shared" si="4"/>
        <v>0</v>
      </c>
      <c r="T49" s="156" t="str">
        <f>+VLOOKUP($L49,Data_Validation!$A:$D,1,0)</f>
        <v>427</v>
      </c>
      <c r="U49" s="156">
        <f>+VLOOKUP($L49,Data_Validation!$A:$D,3,0)</f>
        <v>0</v>
      </c>
      <c r="V49" s="156">
        <f>+VLOOKUP($L49,Data_Validation!$A:$D,4,0)</f>
        <v>0</v>
      </c>
      <c r="W49" s="156">
        <f>+VLOOKUP($L49,Data_Validation!$A:$E,5,0)</f>
        <v>0</v>
      </c>
      <c r="X49" s="156">
        <f>+VLOOKUP($L49,Data_Validation!$A:$F,6,0)</f>
        <v>0</v>
      </c>
    </row>
    <row r="50" spans="1:24" ht="15" hidden="1" customHeight="1">
      <c r="A50" s="1012" t="s">
        <v>2327</v>
      </c>
      <c r="B50" s="1012" t="s">
        <v>2328</v>
      </c>
      <c r="C50" s="1013"/>
      <c r="D50" s="1013"/>
      <c r="E50" s="1013"/>
      <c r="F50" s="1012" t="s">
        <v>1</v>
      </c>
      <c r="G50" s="1012" t="s">
        <v>2215</v>
      </c>
      <c r="H50" s="1013"/>
      <c r="I50" s="1014">
        <v>1</v>
      </c>
      <c r="J50" s="1014">
        <v>0</v>
      </c>
      <c r="K50" s="1014">
        <v>1</v>
      </c>
      <c r="L50" s="153" t="str">
        <f t="shared" si="0"/>
        <v>500</v>
      </c>
      <c r="M50" s="154" t="str">
        <f t="shared" si="1"/>
        <v>PROPRIETAIRES</v>
      </c>
      <c r="N50" s="155">
        <f>+IF(OR($Q50=Parametres!$G$2,$Q50=Parametres!$G$3),I50,C50)</f>
        <v>1</v>
      </c>
      <c r="O50" s="576">
        <f>+IF(OR($Q50=Parametres!$G$2,$Q50=Parametres!$G$3),J50,D50)</f>
        <v>0</v>
      </c>
      <c r="P50" s="155">
        <f>+IF(OR($Q50=Parametres!$G$2,$Q50=Parametres!$G$3),K50,E50)</f>
        <v>1</v>
      </c>
      <c r="Q50" s="154" t="str">
        <f t="shared" ref="Q50:S65" si="5">+F50</f>
        <v>1-Mémo</v>
      </c>
      <c r="R50" s="153" t="str">
        <f t="shared" si="5"/>
        <v>50</v>
      </c>
      <c r="S50" s="154">
        <f t="shared" si="5"/>
        <v>0</v>
      </c>
      <c r="T50" s="156" t="str">
        <f>+VLOOKUP($L50,Data_Validation!$A:$D,1,0)</f>
        <v>500</v>
      </c>
      <c r="U50" s="156">
        <f>+VLOOKUP($L50,Data_Validation!$A:$D,3,0)</f>
        <v>0</v>
      </c>
      <c r="V50" s="156">
        <f>+VLOOKUP($L50,Data_Validation!$A:$D,4,0)</f>
        <v>0</v>
      </c>
      <c r="W50" s="156" t="str">
        <f>+VLOOKUP($L50,Data_Validation!$A:$E,5,0)</f>
        <v>$</v>
      </c>
      <c r="X50" s="156">
        <f>+VLOOKUP($L50,Data_Validation!$A:$F,6,0)</f>
        <v>0</v>
      </c>
    </row>
    <row r="51" spans="1:24" ht="15" hidden="1" customHeight="1">
      <c r="A51" s="1012" t="s">
        <v>2329</v>
      </c>
      <c r="B51" s="1012" t="s">
        <v>1526</v>
      </c>
      <c r="C51" s="1013"/>
      <c r="D51" s="1013"/>
      <c r="E51" s="1013"/>
      <c r="F51" s="1012" t="s">
        <v>1</v>
      </c>
      <c r="G51" s="1012" t="s">
        <v>2215</v>
      </c>
      <c r="H51" s="1013"/>
      <c r="I51" s="1014">
        <v>0.2</v>
      </c>
      <c r="J51" s="1014">
        <v>0</v>
      </c>
      <c r="K51" s="1014">
        <v>0.2</v>
      </c>
      <c r="L51" s="153" t="str">
        <f t="shared" si="0"/>
        <v>511</v>
      </c>
      <c r="M51" s="154" t="str">
        <f t="shared" si="1"/>
        <v>DIR. GENERAL NEUFS</v>
      </c>
      <c r="N51" s="155">
        <f>+IF(OR($Q51=Parametres!$G$2,$Q51=Parametres!$G$3),I51,C51)</f>
        <v>0.2</v>
      </c>
      <c r="O51" s="576">
        <f>+IF(OR($Q51=Parametres!$G$2,$Q51=Parametres!$G$3),J51,D51)</f>
        <v>0</v>
      </c>
      <c r="P51" s="155">
        <f>+IF(OR($Q51=Parametres!$G$2,$Q51=Parametres!$G$3),K51,E51)</f>
        <v>0.2</v>
      </c>
      <c r="Q51" s="154" t="str">
        <f t="shared" si="5"/>
        <v>1-Mémo</v>
      </c>
      <c r="R51" s="153" t="str">
        <f t="shared" si="5"/>
        <v>50</v>
      </c>
      <c r="S51" s="154">
        <f t="shared" si="5"/>
        <v>0</v>
      </c>
      <c r="T51" s="156" t="str">
        <f>+VLOOKUP($L51,Data_Validation!$A:$D,1,0)</f>
        <v>511</v>
      </c>
      <c r="U51" s="156">
        <f>+VLOOKUP($L51,Data_Validation!$A:$D,3,0)</f>
        <v>0</v>
      </c>
      <c r="V51" s="156">
        <f>+VLOOKUP($L51,Data_Validation!$A:$D,4,0)</f>
        <v>0</v>
      </c>
      <c r="W51" s="156" t="str">
        <f>+VLOOKUP($L51,Data_Validation!$A:$E,5,0)</f>
        <v>$</v>
      </c>
      <c r="X51" s="156">
        <f>+VLOOKUP($L51,Data_Validation!$A:$F,6,0)</f>
        <v>0</v>
      </c>
    </row>
    <row r="52" spans="1:24" ht="15.75" hidden="1" customHeight="1">
      <c r="A52" s="1012" t="s">
        <v>2330</v>
      </c>
      <c r="B52" s="1012" t="s">
        <v>884</v>
      </c>
      <c r="C52" s="1013"/>
      <c r="D52" s="1013"/>
      <c r="E52" s="1013"/>
      <c r="F52" s="1012" t="s">
        <v>1</v>
      </c>
      <c r="G52" s="1012" t="s">
        <v>2215</v>
      </c>
      <c r="H52" s="1013"/>
      <c r="I52" s="1014">
        <v>0.2</v>
      </c>
      <c r="J52" s="1014">
        <v>0</v>
      </c>
      <c r="K52" s="1014">
        <v>0.2</v>
      </c>
      <c r="L52" s="153" t="str">
        <f t="shared" si="0"/>
        <v>512</v>
      </c>
      <c r="M52" s="154" t="str">
        <f t="shared" si="1"/>
        <v>DIR. GENERAL USAGES</v>
      </c>
      <c r="N52" s="155">
        <f>+IF(OR($Q52=Parametres!$G$2,$Q52=Parametres!$G$3),I52,C52)</f>
        <v>0.2</v>
      </c>
      <c r="O52" s="155">
        <f>+IF(OR($Q52=Parametres!$G$2,$Q52=Parametres!$G$3),J52,D52)</f>
        <v>0</v>
      </c>
      <c r="P52" s="155">
        <f>+IF(OR($Q52=Parametres!$G$2,$Q52=Parametres!$G$3),K52,E52)</f>
        <v>0.2</v>
      </c>
      <c r="Q52" s="154" t="str">
        <f t="shared" si="5"/>
        <v>1-Mémo</v>
      </c>
      <c r="R52" s="153" t="str">
        <f t="shared" si="5"/>
        <v>50</v>
      </c>
      <c r="S52" s="154">
        <f t="shared" si="5"/>
        <v>0</v>
      </c>
      <c r="T52" s="156" t="str">
        <f>+VLOOKUP($L52,Data_Validation!$A:$D,1,0)</f>
        <v>512</v>
      </c>
      <c r="U52" s="156">
        <f>+VLOOKUP($L52,Data_Validation!$A:$D,3,0)</f>
        <v>0</v>
      </c>
      <c r="V52" s="156">
        <f>+VLOOKUP($L52,Data_Validation!$A:$D,4,0)</f>
        <v>0</v>
      </c>
      <c r="W52" s="156" t="str">
        <f>+VLOOKUP($L52,Data_Validation!$A:$E,5,0)</f>
        <v>$</v>
      </c>
      <c r="X52" s="156">
        <f>+VLOOKUP($L52,Data_Validation!$A:$F,6,0)</f>
        <v>0</v>
      </c>
    </row>
    <row r="53" spans="1:24" ht="15" hidden="1" customHeight="1">
      <c r="A53" s="1012" t="s">
        <v>2331</v>
      </c>
      <c r="B53" s="1012" t="s">
        <v>2332</v>
      </c>
      <c r="C53" s="1013"/>
      <c r="D53" s="1013"/>
      <c r="E53" s="1013"/>
      <c r="F53" s="1012" t="s">
        <v>1</v>
      </c>
      <c r="G53" s="1012" t="s">
        <v>2215</v>
      </c>
      <c r="H53" s="1013"/>
      <c r="I53" s="1014">
        <v>0.2</v>
      </c>
      <c r="J53" s="1014">
        <v>0</v>
      </c>
      <c r="K53" s="1014">
        <v>0.2</v>
      </c>
      <c r="L53" s="153" t="str">
        <f t="shared" si="0"/>
        <v>514</v>
      </c>
      <c r="M53" s="154" t="str">
        <f t="shared" si="1"/>
        <v>DIR. GENERAL SERVICE</v>
      </c>
      <c r="N53" s="155">
        <f>+IF(OR($Q53=Parametres!$G$2,$Q53=Parametres!$G$3),I53,C53)</f>
        <v>0.2</v>
      </c>
      <c r="O53" s="575">
        <f>+IF(OR($Q53=Parametres!$G$2,$Q53=Parametres!$G$3),J53,D53)</f>
        <v>0</v>
      </c>
      <c r="P53" s="155">
        <f>+IF(OR($Q53=Parametres!$G$2,$Q53=Parametres!$G$3),K53,E53)</f>
        <v>0.2</v>
      </c>
      <c r="Q53" s="154" t="str">
        <f t="shared" si="5"/>
        <v>1-Mémo</v>
      </c>
      <c r="R53" s="153" t="str">
        <f t="shared" si="5"/>
        <v>50</v>
      </c>
      <c r="S53" s="154">
        <f t="shared" si="5"/>
        <v>0</v>
      </c>
      <c r="T53" s="156" t="str">
        <f>+VLOOKUP($L53,Data_Validation!$A:$D,1,0)</f>
        <v>514</v>
      </c>
      <c r="U53" s="156">
        <f>+VLOOKUP($L53,Data_Validation!$A:$D,3,0)</f>
        <v>0</v>
      </c>
      <c r="V53" s="156">
        <f>+VLOOKUP($L53,Data_Validation!$A:$D,4,0)</f>
        <v>0</v>
      </c>
      <c r="W53" s="156" t="str">
        <f>+VLOOKUP($L53,Data_Validation!$A:$E,5,0)</f>
        <v>$</v>
      </c>
      <c r="X53" s="156">
        <f>+VLOOKUP($L53,Data_Validation!$A:$F,6,0)</f>
        <v>0</v>
      </c>
    </row>
    <row r="54" spans="1:24" ht="15" hidden="1" customHeight="1">
      <c r="A54" s="1012" t="s">
        <v>2333</v>
      </c>
      <c r="B54" s="1012" t="s">
        <v>2334</v>
      </c>
      <c r="C54" s="1013"/>
      <c r="D54" s="1013"/>
      <c r="E54" s="1013"/>
      <c r="F54" s="1012" t="s">
        <v>1</v>
      </c>
      <c r="G54" s="1012" t="s">
        <v>2215</v>
      </c>
      <c r="H54" s="1013"/>
      <c r="I54" s="1014">
        <v>0.2</v>
      </c>
      <c r="J54" s="1014">
        <v>0</v>
      </c>
      <c r="K54" s="1014">
        <v>0.2</v>
      </c>
      <c r="L54" s="153" t="str">
        <f t="shared" si="0"/>
        <v>515</v>
      </c>
      <c r="M54" s="154" t="str">
        <f t="shared" si="1"/>
        <v>DIR. GENERAL CARROSS.</v>
      </c>
      <c r="N54" s="155">
        <f>+IF(OR($Q54=Parametres!$G$2,$Q54=Parametres!$G$3),I54,C54)</f>
        <v>0.2</v>
      </c>
      <c r="O54" s="155">
        <f>+IF(OR($Q54=Parametres!$G$2,$Q54=Parametres!$G$3),J54,D54)</f>
        <v>0</v>
      </c>
      <c r="P54" s="155">
        <f>+IF(OR($Q54=Parametres!$G$2,$Q54=Parametres!$G$3),K54,E54)</f>
        <v>0.2</v>
      </c>
      <c r="Q54" s="154" t="str">
        <f t="shared" si="5"/>
        <v>1-Mémo</v>
      </c>
      <c r="R54" s="153" t="str">
        <f t="shared" si="5"/>
        <v>50</v>
      </c>
      <c r="S54" s="154">
        <f t="shared" si="5"/>
        <v>0</v>
      </c>
      <c r="T54" s="156" t="str">
        <f>+VLOOKUP($L54,Data_Validation!$A:$D,1,0)</f>
        <v>515</v>
      </c>
      <c r="U54" s="156">
        <f>+VLOOKUP($L54,Data_Validation!$A:$D,3,0)</f>
        <v>0</v>
      </c>
      <c r="V54" s="156">
        <f>+VLOOKUP($L54,Data_Validation!$A:$D,4,0)</f>
        <v>0</v>
      </c>
      <c r="W54" s="156" t="str">
        <f>+VLOOKUP($L54,Data_Validation!$A:$E,5,0)</f>
        <v>$</v>
      </c>
      <c r="X54" s="156">
        <f>+VLOOKUP($L54,Data_Validation!$A:$F,6,0)</f>
        <v>0</v>
      </c>
    </row>
    <row r="55" spans="1:24" ht="15" hidden="1" customHeight="1">
      <c r="A55" s="1012" t="s">
        <v>2335</v>
      </c>
      <c r="B55" s="1012" t="s">
        <v>2336</v>
      </c>
      <c r="C55" s="1013"/>
      <c r="D55" s="1013"/>
      <c r="E55" s="1013"/>
      <c r="F55" s="1012" t="s">
        <v>1</v>
      </c>
      <c r="G55" s="1012" t="s">
        <v>2215</v>
      </c>
      <c r="H55" s="1013"/>
      <c r="I55" s="1014">
        <v>0.2</v>
      </c>
      <c r="J55" s="1014">
        <v>0</v>
      </c>
      <c r="K55" s="1014">
        <v>0.2</v>
      </c>
      <c r="L55" s="153" t="str">
        <f t="shared" si="0"/>
        <v>517</v>
      </c>
      <c r="M55" s="154" t="str">
        <f t="shared" si="1"/>
        <v>DIR. GENERAL PIECES</v>
      </c>
      <c r="N55" s="155">
        <f>+IF(OR($Q55=Parametres!$G$2,$Q55=Parametres!$G$3),I55,C55)</f>
        <v>0.2</v>
      </c>
      <c r="O55" s="155">
        <f>+IF(OR($Q55=Parametres!$G$2,$Q55=Parametres!$G$3),J55,D55)</f>
        <v>0</v>
      </c>
      <c r="P55" s="155">
        <f>+IF(OR($Q55=Parametres!$G$2,$Q55=Parametres!$G$3),K55,E55)</f>
        <v>0.2</v>
      </c>
      <c r="Q55" s="154" t="str">
        <f t="shared" si="5"/>
        <v>1-Mémo</v>
      </c>
      <c r="R55" s="153" t="str">
        <f t="shared" si="5"/>
        <v>50</v>
      </c>
      <c r="S55" s="154">
        <f t="shared" si="5"/>
        <v>0</v>
      </c>
      <c r="T55" s="156" t="str">
        <f>+VLOOKUP($L55,Data_Validation!$A:$D,1,0)</f>
        <v>517</v>
      </c>
      <c r="U55" s="156">
        <f>+VLOOKUP($L55,Data_Validation!$A:$D,3,0)</f>
        <v>0</v>
      </c>
      <c r="V55" s="156">
        <f>+VLOOKUP($L55,Data_Validation!$A:$D,4,0)</f>
        <v>0</v>
      </c>
      <c r="W55" s="156" t="str">
        <f>+VLOOKUP($L55,Data_Validation!$A:$E,5,0)</f>
        <v>$</v>
      </c>
      <c r="X55" s="156">
        <f>+VLOOKUP($L55,Data_Validation!$A:$F,6,0)</f>
        <v>0</v>
      </c>
    </row>
    <row r="56" spans="1:24" ht="15.75" hidden="1" customHeight="1">
      <c r="A56" s="1012" t="s">
        <v>2337</v>
      </c>
      <c r="B56" s="1012" t="s">
        <v>2338</v>
      </c>
      <c r="C56" s="1013"/>
      <c r="D56" s="1013"/>
      <c r="E56" s="1013"/>
      <c r="F56" s="1012" t="s">
        <v>1</v>
      </c>
      <c r="G56" s="1012" t="s">
        <v>2215</v>
      </c>
      <c r="H56" s="1013"/>
      <c r="I56" s="1014">
        <v>2</v>
      </c>
      <c r="J56" s="1014">
        <v>0</v>
      </c>
      <c r="K56" s="1014">
        <v>2</v>
      </c>
      <c r="L56" s="153" t="str">
        <f t="shared" si="0"/>
        <v>521</v>
      </c>
      <c r="M56" s="154" t="str">
        <f t="shared" si="1"/>
        <v>DIR. SERVICE NEUFS</v>
      </c>
      <c r="N56" s="155">
        <f>+IF(OR($Q56=Parametres!$G$2,$Q56=Parametres!$G$3),I56,C56)</f>
        <v>2</v>
      </c>
      <c r="O56" s="575">
        <f>+IF(OR($Q56=Parametres!$G$2,$Q56=Parametres!$G$3),J56,D56)</f>
        <v>0</v>
      </c>
      <c r="P56" s="155">
        <f>+IF(OR($Q56=Parametres!$G$2,$Q56=Parametres!$G$3),K56,E56)</f>
        <v>2</v>
      </c>
      <c r="Q56" s="154" t="str">
        <f t="shared" si="5"/>
        <v>1-Mémo</v>
      </c>
      <c r="R56" s="153" t="str">
        <f t="shared" si="5"/>
        <v>50</v>
      </c>
      <c r="S56" s="154">
        <f t="shared" si="5"/>
        <v>0</v>
      </c>
      <c r="T56" s="156" t="str">
        <f>+VLOOKUP($L56,Data_Validation!$A:$D,1,0)</f>
        <v>521</v>
      </c>
      <c r="U56" s="156">
        <f>+VLOOKUP($L56,Data_Validation!$A:$D,3,0)</f>
        <v>0</v>
      </c>
      <c r="V56" s="156">
        <f>+VLOOKUP($L56,Data_Validation!$A:$D,4,0)</f>
        <v>0</v>
      </c>
      <c r="W56" s="156" t="str">
        <f>+VLOOKUP($L56,Data_Validation!$A:$E,5,0)</f>
        <v>$</v>
      </c>
      <c r="X56" s="156">
        <f>+VLOOKUP($L56,Data_Validation!$A:$F,6,0)</f>
        <v>0</v>
      </c>
    </row>
    <row r="57" spans="1:24" ht="15" hidden="1" customHeight="1">
      <c r="A57" s="1012" t="s">
        <v>2339</v>
      </c>
      <c r="B57" s="1012" t="s">
        <v>2340</v>
      </c>
      <c r="C57" s="1013"/>
      <c r="D57" s="1013"/>
      <c r="E57" s="1013"/>
      <c r="F57" s="1012" t="s">
        <v>1</v>
      </c>
      <c r="G57" s="1012" t="s">
        <v>2215</v>
      </c>
      <c r="H57" s="1013"/>
      <c r="I57" s="1014">
        <v>1</v>
      </c>
      <c r="J57" s="1014">
        <v>0</v>
      </c>
      <c r="K57" s="1014">
        <v>1</v>
      </c>
      <c r="L57" s="153" t="str">
        <f t="shared" si="0"/>
        <v>522</v>
      </c>
      <c r="M57" s="154" t="str">
        <f t="shared" si="1"/>
        <v>DIR. SERVICE USAGES</v>
      </c>
      <c r="N57" s="155">
        <f>+IF(OR($Q57=Parametres!$G$2,$Q57=Parametres!$G$3),I57,C57)</f>
        <v>1</v>
      </c>
      <c r="O57" s="155">
        <f>+IF(OR($Q57=Parametres!$G$2,$Q57=Parametres!$G$3),J57,D57)</f>
        <v>0</v>
      </c>
      <c r="P57" s="155">
        <f>+IF(OR($Q57=Parametres!$G$2,$Q57=Parametres!$G$3),K57,E57)</f>
        <v>1</v>
      </c>
      <c r="Q57" s="154" t="str">
        <f t="shared" si="5"/>
        <v>1-Mémo</v>
      </c>
      <c r="R57" s="153" t="str">
        <f t="shared" si="5"/>
        <v>50</v>
      </c>
      <c r="S57" s="154">
        <f t="shared" si="5"/>
        <v>0</v>
      </c>
      <c r="T57" s="156" t="str">
        <f>+VLOOKUP($L57,Data_Validation!$A:$D,1,0)</f>
        <v>522</v>
      </c>
      <c r="U57" s="156">
        <f>+VLOOKUP($L57,Data_Validation!$A:$D,3,0)</f>
        <v>0</v>
      </c>
      <c r="V57" s="156">
        <f>+VLOOKUP($L57,Data_Validation!$A:$D,4,0)</f>
        <v>0</v>
      </c>
      <c r="W57" s="156" t="str">
        <f>+VLOOKUP($L57,Data_Validation!$A:$E,5,0)</f>
        <v>$</v>
      </c>
      <c r="X57" s="156">
        <f>+VLOOKUP($L57,Data_Validation!$A:$F,6,0)</f>
        <v>0</v>
      </c>
    </row>
    <row r="58" spans="1:24" ht="15" hidden="1" customHeight="1">
      <c r="A58" s="1012" t="s">
        <v>2341</v>
      </c>
      <c r="B58" s="1012" t="s">
        <v>2342</v>
      </c>
      <c r="C58" s="1013"/>
      <c r="D58" s="1013"/>
      <c r="E58" s="1013"/>
      <c r="F58" s="1012" t="s">
        <v>1</v>
      </c>
      <c r="G58" s="1012" t="s">
        <v>2215</v>
      </c>
      <c r="H58" s="1013"/>
      <c r="I58" s="1014">
        <v>1</v>
      </c>
      <c r="J58" s="1014">
        <v>0</v>
      </c>
      <c r="K58" s="1014">
        <v>1</v>
      </c>
      <c r="L58" s="153" t="str">
        <f t="shared" si="0"/>
        <v>524</v>
      </c>
      <c r="M58" s="154" t="str">
        <f t="shared" si="1"/>
        <v>DIR. SERVICE SERVICE</v>
      </c>
      <c r="N58" s="155">
        <f>+IF(OR($Q58=Parametres!$G$2,$Q58=Parametres!$G$3),I58,C58)</f>
        <v>1</v>
      </c>
      <c r="O58" s="155">
        <f>+IF(OR($Q58=Parametres!$G$2,$Q58=Parametres!$G$3),J58,D58)</f>
        <v>0</v>
      </c>
      <c r="P58" s="155">
        <f>+IF(OR($Q58=Parametres!$G$2,$Q58=Parametres!$G$3),K58,E58)</f>
        <v>1</v>
      </c>
      <c r="Q58" s="154" t="str">
        <f t="shared" si="5"/>
        <v>1-Mémo</v>
      </c>
      <c r="R58" s="153" t="str">
        <f t="shared" si="5"/>
        <v>50</v>
      </c>
      <c r="S58" s="154">
        <f t="shared" si="5"/>
        <v>0</v>
      </c>
      <c r="T58" s="156" t="str">
        <f>+VLOOKUP($L58,Data_Validation!$A:$D,1,0)</f>
        <v>524</v>
      </c>
      <c r="U58" s="156">
        <f>+VLOOKUP($L58,Data_Validation!$A:$D,3,0)</f>
        <v>0</v>
      </c>
      <c r="V58" s="156">
        <f>+VLOOKUP($L58,Data_Validation!$A:$D,4,0)</f>
        <v>0</v>
      </c>
      <c r="W58" s="156" t="str">
        <f>+VLOOKUP($L58,Data_Validation!$A:$E,5,0)</f>
        <v>$</v>
      </c>
      <c r="X58" s="156">
        <f>+VLOOKUP($L58,Data_Validation!$A:$F,6,0)</f>
        <v>0</v>
      </c>
    </row>
    <row r="59" spans="1:24" ht="15" hidden="1" customHeight="1">
      <c r="A59" s="1012" t="s">
        <v>2343</v>
      </c>
      <c r="B59" s="1012" t="s">
        <v>2344</v>
      </c>
      <c r="C59" s="1013"/>
      <c r="D59" s="1013"/>
      <c r="E59" s="1013"/>
      <c r="F59" s="1012" t="s">
        <v>1</v>
      </c>
      <c r="G59" s="1012" t="s">
        <v>2215</v>
      </c>
      <c r="H59" s="1013"/>
      <c r="I59" s="1014">
        <v>1</v>
      </c>
      <c r="J59" s="1014">
        <v>0</v>
      </c>
      <c r="K59" s="1014">
        <v>1</v>
      </c>
      <c r="L59" s="153" t="str">
        <f t="shared" si="0"/>
        <v>527</v>
      </c>
      <c r="M59" s="154" t="str">
        <f t="shared" si="1"/>
        <v>DIR. SERVICE PIECES</v>
      </c>
      <c r="N59" s="155">
        <f>+IF(OR($Q59=Parametres!$G$2,$Q59=Parametres!$G$3),I59,C59)</f>
        <v>1</v>
      </c>
      <c r="O59" s="155">
        <f>+IF(OR($Q59=Parametres!$G$2,$Q59=Parametres!$G$3),J59,D59)</f>
        <v>0</v>
      </c>
      <c r="P59" s="155">
        <f>+IF(OR($Q59=Parametres!$G$2,$Q59=Parametres!$G$3),K59,E59)</f>
        <v>1</v>
      </c>
      <c r="Q59" s="154" t="str">
        <f t="shared" si="5"/>
        <v>1-Mémo</v>
      </c>
      <c r="R59" s="153" t="str">
        <f t="shared" si="5"/>
        <v>50</v>
      </c>
      <c r="S59" s="154">
        <f t="shared" si="5"/>
        <v>0</v>
      </c>
      <c r="T59" s="156" t="str">
        <f>+VLOOKUP($L59,Data_Validation!$A:$D,1,0)</f>
        <v>527</v>
      </c>
      <c r="U59" s="156">
        <f>+VLOOKUP($L59,Data_Validation!$A:$D,3,0)</f>
        <v>0</v>
      </c>
      <c r="V59" s="156">
        <f>+VLOOKUP($L59,Data_Validation!$A:$D,4,0)</f>
        <v>0</v>
      </c>
      <c r="W59" s="156" t="str">
        <f>+VLOOKUP($L59,Data_Validation!$A:$E,5,0)</f>
        <v>$</v>
      </c>
      <c r="X59" s="156">
        <f>+VLOOKUP($L59,Data_Validation!$A:$F,6,0)</f>
        <v>0</v>
      </c>
    </row>
    <row r="60" spans="1:24" ht="15" hidden="1" customHeight="1">
      <c r="A60" s="1012" t="s">
        <v>2345</v>
      </c>
      <c r="B60" s="1012" t="s">
        <v>2346</v>
      </c>
      <c r="C60" s="1034"/>
      <c r="D60" s="1034"/>
      <c r="E60" s="1034"/>
      <c r="F60" s="1012" t="s">
        <v>1</v>
      </c>
      <c r="G60" s="1012" t="s">
        <v>2347</v>
      </c>
      <c r="H60" s="1013"/>
      <c r="I60" s="1014">
        <v>8</v>
      </c>
      <c r="J60" s="1014">
        <v>0</v>
      </c>
      <c r="K60" s="1014">
        <v>8</v>
      </c>
      <c r="L60" s="153" t="str">
        <f t="shared" si="0"/>
        <v>541</v>
      </c>
      <c r="M60" s="154" t="str">
        <f t="shared" si="1"/>
        <v>VW REP. DES VENTES - NEUF</v>
      </c>
      <c r="N60" s="155">
        <f>+IF(OR($Q60=Parametres!$G$2,$Q60=Parametres!$G$3),I60,C60)</f>
        <v>8</v>
      </c>
      <c r="O60" s="575">
        <f>+IF(OR($Q60=Parametres!$G$2,$Q60=Parametres!$G$3),J60,D60)</f>
        <v>0</v>
      </c>
      <c r="P60" s="155">
        <f>+IF(OR($Q60=Parametres!$G$2,$Q60=Parametres!$G$3),K60,E60)</f>
        <v>8</v>
      </c>
      <c r="Q60" s="154" t="str">
        <f t="shared" si="5"/>
        <v>1-Mémo</v>
      </c>
      <c r="R60" s="153" t="str">
        <f t="shared" si="5"/>
        <v>54</v>
      </c>
      <c r="S60" s="154">
        <f t="shared" si="5"/>
        <v>0</v>
      </c>
      <c r="T60" s="156" t="str">
        <f>+VLOOKUP($L60,Data_Validation!$A:$D,1,0)</f>
        <v>541</v>
      </c>
      <c r="U60" s="156">
        <f>+VLOOKUP($L60,Data_Validation!$A:$D,3,0)</f>
        <v>0</v>
      </c>
      <c r="V60" s="156">
        <f>+VLOOKUP($L60,Data_Validation!$A:$D,4,0)</f>
        <v>0</v>
      </c>
      <c r="W60" s="156" t="str">
        <f>+VLOOKUP($L60,Data_Validation!$A:$E,5,0)</f>
        <v>$</v>
      </c>
      <c r="X60" s="156">
        <f>+VLOOKUP($L60,Data_Validation!$A:$F,6,0)</f>
        <v>0</v>
      </c>
    </row>
    <row r="61" spans="1:24" ht="15" hidden="1" customHeight="1">
      <c r="A61" s="1012" t="s">
        <v>2348</v>
      </c>
      <c r="B61" s="1012" t="s">
        <v>2349</v>
      </c>
      <c r="C61" s="1014"/>
      <c r="D61" s="1014"/>
      <c r="E61" s="1014"/>
      <c r="F61" s="1012" t="s">
        <v>1</v>
      </c>
      <c r="G61" s="1012" t="s">
        <v>2215</v>
      </c>
      <c r="H61" s="1013"/>
      <c r="I61" s="1013">
        <v>3</v>
      </c>
      <c r="J61" s="1013">
        <v>0</v>
      </c>
      <c r="K61" s="1013">
        <v>3</v>
      </c>
      <c r="L61" s="153" t="str">
        <f t="shared" si="0"/>
        <v>542</v>
      </c>
      <c r="M61" s="154" t="str">
        <f t="shared" si="1"/>
        <v>VW REP. DES VENTES - OCC.</v>
      </c>
      <c r="N61" s="155">
        <f>+IF(OR($Q61=Parametres!$G$2,$Q61=Parametres!$G$3),I61,C61)</f>
        <v>3</v>
      </c>
      <c r="O61" s="575">
        <f>+IF(OR($Q61=Parametres!$G$2,$Q61=Parametres!$G$3),J61,D61)</f>
        <v>0</v>
      </c>
      <c r="P61" s="155">
        <f>+IF(OR($Q61=Parametres!$G$2,$Q61=Parametres!$G$3),K61,E61)</f>
        <v>3</v>
      </c>
      <c r="Q61" s="154" t="str">
        <f t="shared" si="5"/>
        <v>1-Mémo</v>
      </c>
      <c r="R61" s="153" t="str">
        <f t="shared" si="5"/>
        <v>50</v>
      </c>
      <c r="S61" s="154">
        <f t="shared" si="5"/>
        <v>0</v>
      </c>
      <c r="T61" s="156" t="str">
        <f>+VLOOKUP($L61,Data_Validation!$A:$D,1,0)</f>
        <v>542</v>
      </c>
      <c r="U61" s="156">
        <f>+VLOOKUP($L61,Data_Validation!$A:$D,3,0)</f>
        <v>0</v>
      </c>
      <c r="V61" s="156">
        <f>+VLOOKUP($L61,Data_Validation!$A:$D,4,0)</f>
        <v>0</v>
      </c>
      <c r="W61" s="156" t="str">
        <f>+VLOOKUP($L61,Data_Validation!$A:$E,5,0)</f>
        <v>$</v>
      </c>
      <c r="X61" s="156">
        <f>+VLOOKUP($L61,Data_Validation!$A:$F,6,0)</f>
        <v>0</v>
      </c>
    </row>
    <row r="62" spans="1:24" ht="15" hidden="1" customHeight="1">
      <c r="A62" s="1012" t="s">
        <v>2350</v>
      </c>
      <c r="B62" s="1012" t="s">
        <v>2351</v>
      </c>
      <c r="C62" s="1014"/>
      <c r="D62" s="1014"/>
      <c r="E62" s="1014"/>
      <c r="F62" s="1012" t="s">
        <v>1</v>
      </c>
      <c r="G62" s="1012" t="s">
        <v>2215</v>
      </c>
      <c r="H62" s="1013"/>
      <c r="I62" s="1013">
        <v>1.5</v>
      </c>
      <c r="J62" s="1013">
        <v>0</v>
      </c>
      <c r="K62" s="1013">
        <v>1.5</v>
      </c>
      <c r="L62" s="153" t="str">
        <f t="shared" si="0"/>
        <v>551</v>
      </c>
      <c r="M62" s="154" t="str">
        <f t="shared" si="1"/>
        <v>DIR. COMMERCIAL NEUFS</v>
      </c>
      <c r="N62" s="155">
        <f>+IF(OR($Q62=Parametres!$G$2,$Q62=Parametres!$G$3),I62,C62)</f>
        <v>1.5</v>
      </c>
      <c r="O62" s="155">
        <f>+IF(OR($Q62=Parametres!$G$2,$Q62=Parametres!$G$3),J62,D62)</f>
        <v>0</v>
      </c>
      <c r="P62" s="155">
        <f>+IF(OR($Q62=Parametres!$G$2,$Q62=Parametres!$G$3),K62,E62)</f>
        <v>1.5</v>
      </c>
      <c r="Q62" s="154" t="str">
        <f t="shared" si="5"/>
        <v>1-Mémo</v>
      </c>
      <c r="R62" s="153" t="str">
        <f t="shared" si="5"/>
        <v>50</v>
      </c>
      <c r="S62" s="154">
        <f t="shared" si="5"/>
        <v>0</v>
      </c>
      <c r="T62" s="156" t="str">
        <f>+VLOOKUP($L62,Data_Validation!$A:$D,1,0)</f>
        <v>551</v>
      </c>
      <c r="U62" s="156">
        <f>+VLOOKUP($L62,Data_Validation!$A:$D,3,0)</f>
        <v>0</v>
      </c>
      <c r="V62" s="156">
        <f>+VLOOKUP($L62,Data_Validation!$A:$D,4,0)</f>
        <v>0</v>
      </c>
      <c r="W62" s="156" t="str">
        <f>+VLOOKUP($L62,Data_Validation!$A:$E,5,0)</f>
        <v>$</v>
      </c>
      <c r="X62" s="156">
        <f>+VLOOKUP($L62,Data_Validation!$A:$F,6,0)</f>
        <v>0</v>
      </c>
    </row>
    <row r="63" spans="1:24" ht="15" hidden="1" customHeight="1">
      <c r="A63" s="1012" t="s">
        <v>2352</v>
      </c>
      <c r="B63" s="1012" t="s">
        <v>2353</v>
      </c>
      <c r="C63" s="1014"/>
      <c r="D63" s="1014"/>
      <c r="E63" s="1014"/>
      <c r="F63" s="1012" t="s">
        <v>1</v>
      </c>
      <c r="G63" s="1012" t="s">
        <v>2215</v>
      </c>
      <c r="H63" s="1013"/>
      <c r="I63" s="1013">
        <v>1.5</v>
      </c>
      <c r="J63" s="1013">
        <v>0</v>
      </c>
      <c r="K63" s="1013">
        <v>1.5</v>
      </c>
      <c r="L63" s="153" t="str">
        <f t="shared" si="0"/>
        <v>552</v>
      </c>
      <c r="M63" s="154" t="str">
        <f t="shared" si="1"/>
        <v>DIR. COMMERCIAL USAGES</v>
      </c>
      <c r="N63" s="155">
        <f>+IF(OR($Q63=Parametres!$G$2,$Q63=Parametres!$G$3),I63,C63)</f>
        <v>1.5</v>
      </c>
      <c r="O63" s="155">
        <f>+IF(OR($Q63=Parametres!$G$2,$Q63=Parametres!$G$3),J63,D63)</f>
        <v>0</v>
      </c>
      <c r="P63" s="155">
        <f>+IF(OR($Q63=Parametres!$G$2,$Q63=Parametres!$G$3),K63,E63)</f>
        <v>1.5</v>
      </c>
      <c r="Q63" s="154" t="str">
        <f t="shared" si="5"/>
        <v>1-Mémo</v>
      </c>
      <c r="R63" s="153" t="str">
        <f t="shared" si="5"/>
        <v>50</v>
      </c>
      <c r="S63" s="154">
        <f t="shared" si="5"/>
        <v>0</v>
      </c>
      <c r="T63" s="156" t="str">
        <f>+VLOOKUP($L63,Data_Validation!$A:$D,1,0)</f>
        <v>552</v>
      </c>
      <c r="U63" s="156">
        <f>+VLOOKUP($L63,Data_Validation!$A:$D,3,0)</f>
        <v>0</v>
      </c>
      <c r="V63" s="156">
        <f>+VLOOKUP($L63,Data_Validation!$A:$D,4,0)</f>
        <v>0</v>
      </c>
      <c r="W63" s="156" t="str">
        <f>+VLOOKUP($L63,Data_Validation!$A:$E,5,0)</f>
        <v>$</v>
      </c>
      <c r="X63" s="156">
        <f>+VLOOKUP($L63,Data_Validation!$A:$F,6,0)</f>
        <v>0</v>
      </c>
    </row>
    <row r="64" spans="1:24" ht="15" hidden="1" customHeight="1">
      <c r="A64" s="1012" t="s">
        <v>2354</v>
      </c>
      <c r="B64" s="1012" t="s">
        <v>2355</v>
      </c>
      <c r="C64" s="1014"/>
      <c r="D64" s="1014"/>
      <c r="E64" s="1014"/>
      <c r="F64" s="1012" t="s">
        <v>1</v>
      </c>
      <c r="G64" s="1012" t="s">
        <v>2356</v>
      </c>
      <c r="H64" s="1013"/>
      <c r="I64" s="1013">
        <v>4</v>
      </c>
      <c r="J64" s="1013">
        <v>0</v>
      </c>
      <c r="K64" s="1013">
        <v>4</v>
      </c>
      <c r="L64" s="153" t="str">
        <f t="shared" si="0"/>
        <v>614</v>
      </c>
      <c r="M64" s="154" t="str">
        <f t="shared" si="1"/>
        <v>VW CONSEILLERS SERVICE -SERVICE</v>
      </c>
      <c r="N64" s="155">
        <f>+IF(OR($Q64=Parametres!$G$2,$Q64=Parametres!$G$3),I64,C64)</f>
        <v>4</v>
      </c>
      <c r="O64" s="155">
        <f>+IF(OR($Q64=Parametres!$G$2,$Q64=Parametres!$G$3),J64,D64)</f>
        <v>0</v>
      </c>
      <c r="P64" s="155">
        <f>+IF(OR($Q64=Parametres!$G$2,$Q64=Parametres!$G$3),K64,E64)</f>
        <v>4</v>
      </c>
      <c r="Q64" s="154" t="str">
        <f t="shared" si="5"/>
        <v>1-Mémo</v>
      </c>
      <c r="R64" s="153" t="str">
        <f t="shared" si="5"/>
        <v>61</v>
      </c>
      <c r="S64" s="154">
        <f t="shared" si="5"/>
        <v>0</v>
      </c>
      <c r="T64" s="156" t="str">
        <f>+VLOOKUP($L64,Data_Validation!$A:$D,1,0)</f>
        <v>614</v>
      </c>
      <c r="U64" s="156">
        <f>+VLOOKUP($L64,Data_Validation!$A:$D,3,0)</f>
        <v>0</v>
      </c>
      <c r="V64" s="156">
        <f>+VLOOKUP($L64,Data_Validation!$A:$D,4,0)</f>
        <v>0</v>
      </c>
      <c r="W64" s="156" t="str">
        <f>+VLOOKUP($L64,Data_Validation!$A:$E,5,0)</f>
        <v>$</v>
      </c>
      <c r="X64" s="156">
        <f>+VLOOKUP($L64,Data_Validation!$A:$F,6,0)</f>
        <v>0</v>
      </c>
    </row>
    <row r="65" spans="1:24" ht="15" hidden="1" customHeight="1">
      <c r="A65" s="1012" t="s">
        <v>2357</v>
      </c>
      <c r="B65" s="1012" t="s">
        <v>2358</v>
      </c>
      <c r="C65" s="1014"/>
      <c r="D65" s="1014"/>
      <c r="E65" s="1014"/>
      <c r="F65" s="1012" t="s">
        <v>1</v>
      </c>
      <c r="G65" s="1012" t="s">
        <v>2356</v>
      </c>
      <c r="H65" s="1013"/>
      <c r="I65" s="1013">
        <v>3</v>
      </c>
      <c r="J65" s="1013">
        <v>0</v>
      </c>
      <c r="K65" s="1013">
        <v>3</v>
      </c>
      <c r="L65" s="153" t="str">
        <f t="shared" si="0"/>
        <v>615</v>
      </c>
      <c r="M65" s="154" t="str">
        <f t="shared" si="1"/>
        <v>VW CONSEILLERS SERVICE - PIEC. &amp; CARR.&lt;</v>
      </c>
      <c r="N65" s="155">
        <f>+IF(OR($Q65=Parametres!$G$2,$Q65=Parametres!$G$3),I65,C65)</f>
        <v>3</v>
      </c>
      <c r="O65" s="577">
        <f>+IF(OR($Q65=Parametres!$G$2,$Q65=Parametres!$G$3),J65,D65)</f>
        <v>0</v>
      </c>
      <c r="P65" s="155">
        <f>+IF(OR($Q65=Parametres!$G$2,$Q65=Parametres!$G$3),K65,E65)</f>
        <v>3</v>
      </c>
      <c r="Q65" s="154" t="str">
        <f t="shared" si="5"/>
        <v>1-Mémo</v>
      </c>
      <c r="R65" s="153" t="str">
        <f t="shared" si="5"/>
        <v>61</v>
      </c>
      <c r="S65" s="154">
        <f t="shared" si="5"/>
        <v>0</v>
      </c>
      <c r="T65" s="156" t="str">
        <f>+VLOOKUP($L65,Data_Validation!$A:$D,1,0)</f>
        <v>615</v>
      </c>
      <c r="U65" s="156">
        <f>+VLOOKUP($L65,Data_Validation!$A:$D,3,0)</f>
        <v>0</v>
      </c>
      <c r="V65" s="156">
        <f>+VLOOKUP($L65,Data_Validation!$A:$D,4,0)</f>
        <v>0</v>
      </c>
      <c r="W65" s="156" t="str">
        <f>+VLOOKUP($L65,Data_Validation!$A:$E,5,0)</f>
        <v>$</v>
      </c>
      <c r="X65" s="156">
        <f>+VLOOKUP($L65,Data_Validation!$A:$F,6,0)</f>
        <v>0</v>
      </c>
    </row>
    <row r="66" spans="1:24" ht="15" hidden="1" customHeight="1">
      <c r="A66" s="1012" t="s">
        <v>2359</v>
      </c>
      <c r="B66" s="1012" t="s">
        <v>2360</v>
      </c>
      <c r="C66" s="1014"/>
      <c r="D66" s="1014"/>
      <c r="E66" s="1014"/>
      <c r="F66" s="1012" t="s">
        <v>1</v>
      </c>
      <c r="G66" s="1012" t="s">
        <v>2215</v>
      </c>
      <c r="H66" s="1013"/>
      <c r="I66" s="1013">
        <v>1</v>
      </c>
      <c r="J66" s="1013">
        <v>0</v>
      </c>
      <c r="K66" s="1013">
        <v>1</v>
      </c>
      <c r="L66" s="153" t="str">
        <f t="shared" si="0"/>
        <v>621</v>
      </c>
      <c r="M66" s="154" t="str">
        <f t="shared" si="1"/>
        <v>LAVEURS NEUFS</v>
      </c>
      <c r="N66" s="155">
        <f>+IF(OR($Q66=Parametres!$G$2,$Q66=Parametres!$G$3),I66,C66)</f>
        <v>1</v>
      </c>
      <c r="O66" s="155">
        <f>+IF(OR($Q66=Parametres!$G$2,$Q66=Parametres!$G$3),J66,D66)</f>
        <v>0</v>
      </c>
      <c r="P66" s="155">
        <f>+IF(OR($Q66=Parametres!$G$2,$Q66=Parametres!$G$3),K66,E66)</f>
        <v>1</v>
      </c>
      <c r="Q66" s="154" t="str">
        <f t="shared" ref="Q66:S81" si="6">+F66</f>
        <v>1-Mémo</v>
      </c>
      <c r="R66" s="153" t="str">
        <f t="shared" si="6"/>
        <v>50</v>
      </c>
      <c r="S66" s="154">
        <f t="shared" si="6"/>
        <v>0</v>
      </c>
      <c r="T66" s="156" t="str">
        <f>+VLOOKUP($L66,Data_Validation!$A:$D,1,0)</f>
        <v>621</v>
      </c>
      <c r="U66" s="156">
        <f>+VLOOKUP($L66,Data_Validation!$A:$D,3,0)</f>
        <v>0</v>
      </c>
      <c r="V66" s="156">
        <f>+VLOOKUP($L66,Data_Validation!$A:$D,4,0)</f>
        <v>0</v>
      </c>
      <c r="W66" s="156" t="str">
        <f>+VLOOKUP($L66,Data_Validation!$A:$E,5,0)</f>
        <v>$</v>
      </c>
      <c r="X66" s="156">
        <f>+VLOOKUP($L66,Data_Validation!$A:$F,6,0)</f>
        <v>0</v>
      </c>
    </row>
    <row r="67" spans="1:24" ht="15" hidden="1" customHeight="1">
      <c r="A67" s="1012" t="s">
        <v>2361</v>
      </c>
      <c r="B67" s="1012" t="s">
        <v>2362</v>
      </c>
      <c r="C67" s="1014"/>
      <c r="D67" s="1014"/>
      <c r="E67" s="1014"/>
      <c r="F67" s="1012" t="s">
        <v>1</v>
      </c>
      <c r="G67" s="1012" t="s">
        <v>2215</v>
      </c>
      <c r="H67" s="1013"/>
      <c r="I67" s="1013">
        <v>1</v>
      </c>
      <c r="J67" s="1013">
        <v>0</v>
      </c>
      <c r="K67" s="1013">
        <v>1</v>
      </c>
      <c r="L67" s="153" t="str">
        <f t="shared" si="0"/>
        <v>622</v>
      </c>
      <c r="M67" s="154" t="str">
        <f t="shared" si="1"/>
        <v>LAVEURS USAGES</v>
      </c>
      <c r="N67" s="155">
        <f>+IF(OR($Q67=Parametres!$G$2,$Q67=Parametres!$G$3),I67,C67)</f>
        <v>1</v>
      </c>
      <c r="O67" s="575">
        <f>+IF(OR($Q67=Parametres!$G$2,$Q67=Parametres!$G$3),J67,D67)</f>
        <v>0</v>
      </c>
      <c r="P67" s="155">
        <f>+IF(OR($Q67=Parametres!$G$2,$Q67=Parametres!$G$3),K67,E67)</f>
        <v>1</v>
      </c>
      <c r="Q67" s="154" t="str">
        <f t="shared" si="6"/>
        <v>1-Mémo</v>
      </c>
      <c r="R67" s="153" t="str">
        <f t="shared" si="6"/>
        <v>50</v>
      </c>
      <c r="S67" s="154">
        <f t="shared" si="6"/>
        <v>0</v>
      </c>
      <c r="T67" s="156" t="str">
        <f>+VLOOKUP($L67,Data_Validation!$A:$D,1,0)</f>
        <v>622</v>
      </c>
      <c r="U67" s="156">
        <f>+VLOOKUP($L67,Data_Validation!$A:$D,3,0)</f>
        <v>0</v>
      </c>
      <c r="V67" s="156">
        <f>+VLOOKUP($L67,Data_Validation!$A:$D,4,0)</f>
        <v>0</v>
      </c>
      <c r="W67" s="156" t="str">
        <f>+VLOOKUP($L67,Data_Validation!$A:$E,5,0)</f>
        <v>$</v>
      </c>
      <c r="X67" s="156">
        <f>+VLOOKUP($L67,Data_Validation!$A:$F,6,0)</f>
        <v>0</v>
      </c>
    </row>
    <row r="68" spans="1:24" ht="15" hidden="1" customHeight="1">
      <c r="A68" s="1012" t="s">
        <v>2363</v>
      </c>
      <c r="B68" s="1012" t="s">
        <v>2364</v>
      </c>
      <c r="C68" s="1014"/>
      <c r="D68" s="1014"/>
      <c r="E68" s="1014"/>
      <c r="F68" s="1012" t="s">
        <v>1</v>
      </c>
      <c r="G68" s="1012" t="s">
        <v>2215</v>
      </c>
      <c r="H68" s="1013"/>
      <c r="I68" s="1013">
        <v>3</v>
      </c>
      <c r="J68" s="1013">
        <v>0</v>
      </c>
      <c r="K68" s="1013">
        <v>3</v>
      </c>
      <c r="L68" s="153" t="str">
        <f t="shared" si="0"/>
        <v>624</v>
      </c>
      <c r="M68" s="154" t="str">
        <f t="shared" si="1"/>
        <v>LAVEURS SERVICE</v>
      </c>
      <c r="N68" s="155">
        <f>+IF(OR($Q68=Parametres!$G$2,$Q68=Parametres!$G$3),I68,C68)</f>
        <v>3</v>
      </c>
      <c r="O68" s="155">
        <f>+IF(OR($Q68=Parametres!$G$2,$Q68=Parametres!$G$3),J68,D68)</f>
        <v>0</v>
      </c>
      <c r="P68" s="155">
        <f>+IF(OR($Q68=Parametres!$G$2,$Q68=Parametres!$G$3),K68,E68)</f>
        <v>3</v>
      </c>
      <c r="Q68" s="154" t="str">
        <f t="shared" si="6"/>
        <v>1-Mémo</v>
      </c>
      <c r="R68" s="153" t="str">
        <f t="shared" si="6"/>
        <v>50</v>
      </c>
      <c r="S68" s="154">
        <f t="shared" si="6"/>
        <v>0</v>
      </c>
      <c r="T68" s="156" t="str">
        <f>+VLOOKUP($L68,Data_Validation!$A:$D,1,0)</f>
        <v>624</v>
      </c>
      <c r="U68" s="156">
        <f>+VLOOKUP($L68,Data_Validation!$A:$D,3,0)</f>
        <v>0</v>
      </c>
      <c r="V68" s="156">
        <f>+VLOOKUP($L68,Data_Validation!$A:$D,4,0)</f>
        <v>0</v>
      </c>
      <c r="W68" s="156" t="str">
        <f>+VLOOKUP($L68,Data_Validation!$A:$E,5,0)</f>
        <v>$</v>
      </c>
      <c r="X68" s="156">
        <f>+VLOOKUP($L68,Data_Validation!$A:$F,6,0)</f>
        <v>0</v>
      </c>
    </row>
    <row r="69" spans="1:24" ht="15" hidden="1" customHeight="1">
      <c r="A69" s="1012" t="s">
        <v>2365</v>
      </c>
      <c r="B69" s="1012" t="s">
        <v>2366</v>
      </c>
      <c r="C69" s="1014"/>
      <c r="D69" s="1014"/>
      <c r="E69" s="1014"/>
      <c r="F69" s="1012" t="s">
        <v>1</v>
      </c>
      <c r="G69" s="1012" t="s">
        <v>2367</v>
      </c>
      <c r="H69" s="1013"/>
      <c r="I69" s="1013">
        <v>13</v>
      </c>
      <c r="J69" s="1013">
        <v>0</v>
      </c>
      <c r="K69" s="1013">
        <v>13</v>
      </c>
      <c r="L69" s="153" t="str">
        <f t="shared" si="0"/>
        <v>644</v>
      </c>
      <c r="M69" s="154" t="str">
        <f t="shared" si="1"/>
        <v>VW TECHNICIENS - SERVICE</v>
      </c>
      <c r="N69" s="155">
        <f>+IF(OR($Q69=Parametres!$G$2,$Q69=Parametres!$G$3),I69,C69)</f>
        <v>13</v>
      </c>
      <c r="O69" s="155">
        <f>+IF(OR($Q69=Parametres!$G$2,$Q69=Parametres!$G$3),J69,D69)</f>
        <v>0</v>
      </c>
      <c r="P69" s="155">
        <f>+IF(OR($Q69=Parametres!$G$2,$Q69=Parametres!$G$3),K69,E69)</f>
        <v>13</v>
      </c>
      <c r="Q69" s="154" t="str">
        <f t="shared" si="6"/>
        <v>1-Mémo</v>
      </c>
      <c r="R69" s="153" t="str">
        <f t="shared" si="6"/>
        <v>64</v>
      </c>
      <c r="S69" s="154">
        <f t="shared" si="6"/>
        <v>0</v>
      </c>
      <c r="T69" s="156" t="str">
        <f>+VLOOKUP($L69,Data_Validation!$A:$D,1,0)</f>
        <v>644</v>
      </c>
      <c r="U69" s="156">
        <f>+VLOOKUP($L69,Data_Validation!$A:$D,3,0)</f>
        <v>0</v>
      </c>
      <c r="V69" s="156">
        <f>+VLOOKUP($L69,Data_Validation!$A:$D,4,0)</f>
        <v>0</v>
      </c>
      <c r="W69" s="156" t="str">
        <f>+VLOOKUP($L69,Data_Validation!$A:$E,5,0)</f>
        <v>$</v>
      </c>
      <c r="X69" s="156">
        <f>+VLOOKUP($L69,Data_Validation!$A:$F,6,0)</f>
        <v>0</v>
      </c>
    </row>
    <row r="70" spans="1:24" ht="15" hidden="1" customHeight="1">
      <c r="A70" s="1012" t="s">
        <v>2368</v>
      </c>
      <c r="B70" s="1012" t="s">
        <v>2369</v>
      </c>
      <c r="C70" s="1014"/>
      <c r="D70" s="1014"/>
      <c r="E70" s="1014"/>
      <c r="F70" s="1012" t="s">
        <v>1</v>
      </c>
      <c r="G70" s="1012" t="s">
        <v>2215</v>
      </c>
      <c r="H70" s="1013"/>
      <c r="I70" s="1013">
        <v>0.2</v>
      </c>
      <c r="J70" s="1013">
        <v>0</v>
      </c>
      <c r="K70" s="1013">
        <v>0.2</v>
      </c>
      <c r="L70" s="153" t="str">
        <f t="shared" si="0"/>
        <v>651</v>
      </c>
      <c r="M70" s="154" t="str">
        <f t="shared" si="1"/>
        <v>DIR. ADMINIS. NEUFS</v>
      </c>
      <c r="N70" s="155">
        <f>+IF(OR($Q70=Parametres!$G$2,$Q70=Parametres!$G$3),I70,C70)</f>
        <v>0.2</v>
      </c>
      <c r="O70" s="155">
        <f>+IF(OR($Q70=Parametres!$G$2,$Q70=Parametres!$G$3),J70,D70)</f>
        <v>0</v>
      </c>
      <c r="P70" s="155">
        <f>+IF(OR($Q70=Parametres!$G$2,$Q70=Parametres!$G$3),K70,E70)</f>
        <v>0.2</v>
      </c>
      <c r="Q70" s="154" t="str">
        <f t="shared" si="6"/>
        <v>1-Mémo</v>
      </c>
      <c r="R70" s="153" t="str">
        <f t="shared" si="6"/>
        <v>50</v>
      </c>
      <c r="S70" s="154">
        <f t="shared" si="6"/>
        <v>0</v>
      </c>
      <c r="T70" s="156" t="str">
        <f>+VLOOKUP($L70,Data_Validation!$A:$D,1,0)</f>
        <v>651</v>
      </c>
      <c r="U70" s="156">
        <f>+VLOOKUP($L70,Data_Validation!$A:$D,3,0)</f>
        <v>0</v>
      </c>
      <c r="V70" s="156">
        <f>+VLOOKUP($L70,Data_Validation!$A:$D,4,0)</f>
        <v>0</v>
      </c>
      <c r="W70" s="156" t="str">
        <f>+VLOOKUP($L70,Data_Validation!$A:$E,5,0)</f>
        <v>$</v>
      </c>
      <c r="X70" s="156">
        <f>+VLOOKUP($L70,Data_Validation!$A:$F,6,0)</f>
        <v>0</v>
      </c>
    </row>
    <row r="71" spans="1:24" ht="15" hidden="1" customHeight="1">
      <c r="A71" s="1012" t="s">
        <v>2370</v>
      </c>
      <c r="B71" s="1012" t="s">
        <v>2371</v>
      </c>
      <c r="C71" s="1014"/>
      <c r="D71" s="1014"/>
      <c r="E71" s="1014"/>
      <c r="F71" s="1012" t="s">
        <v>1</v>
      </c>
      <c r="G71" s="1012" t="s">
        <v>2215</v>
      </c>
      <c r="H71" s="1013"/>
      <c r="I71" s="1013">
        <v>0.2</v>
      </c>
      <c r="J71" s="1013">
        <v>0</v>
      </c>
      <c r="K71" s="1013">
        <v>0.2</v>
      </c>
      <c r="L71" s="153" t="str">
        <f t="shared" si="0"/>
        <v>652</v>
      </c>
      <c r="M71" s="154" t="str">
        <f t="shared" si="1"/>
        <v>DIR. ADMINIS. USAGES</v>
      </c>
      <c r="N71" s="155">
        <f>+IF(OR($Q71=Parametres!$G$2,$Q71=Parametres!$G$3),I71,C71)</f>
        <v>0.2</v>
      </c>
      <c r="O71" s="575">
        <f>+IF(OR($Q71=Parametres!$G$2,$Q71=Parametres!$G$3),J71,D71)</f>
        <v>0</v>
      </c>
      <c r="P71" s="155">
        <f>+IF(OR($Q71=Parametres!$G$2,$Q71=Parametres!$G$3),K71,E71)</f>
        <v>0.2</v>
      </c>
      <c r="Q71" s="154" t="str">
        <f t="shared" si="6"/>
        <v>1-Mémo</v>
      </c>
      <c r="R71" s="153" t="str">
        <f t="shared" si="6"/>
        <v>50</v>
      </c>
      <c r="S71" s="154">
        <f t="shared" si="6"/>
        <v>0</v>
      </c>
      <c r="T71" s="156" t="str">
        <f>+VLOOKUP($L71,Data_Validation!$A:$D,1,0)</f>
        <v>652</v>
      </c>
      <c r="U71" s="156">
        <f>+VLOOKUP($L71,Data_Validation!$A:$D,3,0)</f>
        <v>0</v>
      </c>
      <c r="V71" s="156">
        <f>+VLOOKUP($L71,Data_Validation!$A:$D,4,0)</f>
        <v>0</v>
      </c>
      <c r="W71" s="156" t="str">
        <f>+VLOOKUP($L71,Data_Validation!$A:$E,5,0)</f>
        <v>$</v>
      </c>
      <c r="X71" s="156">
        <f>+VLOOKUP($L71,Data_Validation!$A:$F,6,0)</f>
        <v>0</v>
      </c>
    </row>
    <row r="72" spans="1:24" ht="15" hidden="1" customHeight="1">
      <c r="A72" s="1012" t="s">
        <v>2372</v>
      </c>
      <c r="B72" s="1012" t="s">
        <v>2373</v>
      </c>
      <c r="C72" s="1014"/>
      <c r="D72" s="1014"/>
      <c r="E72" s="1014"/>
      <c r="F72" s="1012" t="s">
        <v>1</v>
      </c>
      <c r="G72" s="1012" t="s">
        <v>2215</v>
      </c>
      <c r="H72" s="1013"/>
      <c r="I72" s="1013">
        <v>0.2</v>
      </c>
      <c r="J72" s="1013">
        <v>0</v>
      </c>
      <c r="K72" s="1013">
        <v>0.2</v>
      </c>
      <c r="L72" s="153" t="str">
        <f t="shared" si="0"/>
        <v>654</v>
      </c>
      <c r="M72" s="154" t="str">
        <f t="shared" si="1"/>
        <v>DIR. ADMINIS. SERVICE</v>
      </c>
      <c r="N72" s="155">
        <f>+IF(OR($Q72=Parametres!$G$2,$Q72=Parametres!$G$3),I72,C72)</f>
        <v>0.2</v>
      </c>
      <c r="O72" s="155">
        <f>+IF(OR($Q72=Parametres!$G$2,$Q72=Parametres!$G$3),J72,D72)</f>
        <v>0</v>
      </c>
      <c r="P72" s="155">
        <f>+IF(OR($Q72=Parametres!$G$2,$Q72=Parametres!$G$3),K72,E72)</f>
        <v>0.2</v>
      </c>
      <c r="Q72" s="154" t="str">
        <f t="shared" si="6"/>
        <v>1-Mémo</v>
      </c>
      <c r="R72" s="153" t="str">
        <f t="shared" si="6"/>
        <v>50</v>
      </c>
      <c r="S72" s="154">
        <f t="shared" si="6"/>
        <v>0</v>
      </c>
      <c r="T72" s="156" t="str">
        <f>+VLOOKUP($L72,Data_Validation!$A:$D,1,0)</f>
        <v>654</v>
      </c>
      <c r="U72" s="156">
        <f>+VLOOKUP($L72,Data_Validation!$A:$D,3,0)</f>
        <v>0</v>
      </c>
      <c r="V72" s="156">
        <f>+VLOOKUP($L72,Data_Validation!$A:$D,4,0)</f>
        <v>0</v>
      </c>
      <c r="W72" s="156" t="str">
        <f>+VLOOKUP($L72,Data_Validation!$A:$E,5,0)</f>
        <v>$</v>
      </c>
      <c r="X72" s="156">
        <f>+VLOOKUP($L72,Data_Validation!$A:$F,6,0)</f>
        <v>0</v>
      </c>
    </row>
    <row r="73" spans="1:24" ht="15" hidden="1" customHeight="1">
      <c r="A73" s="1012" t="s">
        <v>2374</v>
      </c>
      <c r="B73" s="1012" t="s">
        <v>2375</v>
      </c>
      <c r="C73" s="1014"/>
      <c r="D73" s="1014"/>
      <c r="E73" s="1014"/>
      <c r="F73" s="1012" t="s">
        <v>1</v>
      </c>
      <c r="G73" s="1012" t="s">
        <v>2215</v>
      </c>
      <c r="H73" s="1013"/>
      <c r="I73" s="1013">
        <v>0.2</v>
      </c>
      <c r="J73" s="1013">
        <v>0</v>
      </c>
      <c r="K73" s="1013">
        <v>0.2</v>
      </c>
      <c r="L73" s="153" t="str">
        <f t="shared" si="0"/>
        <v>655</v>
      </c>
      <c r="M73" s="154" t="str">
        <f t="shared" si="1"/>
        <v>DIR. ADMINIS. CARROSS.</v>
      </c>
      <c r="N73" s="155">
        <f>+IF(OR($Q73=Parametres!$G$2,$Q73=Parametres!$G$3),I73,C73)</f>
        <v>0.2</v>
      </c>
      <c r="O73" s="155">
        <f>+IF(OR($Q73=Parametres!$G$2,$Q73=Parametres!$G$3),J73,D73)</f>
        <v>0</v>
      </c>
      <c r="P73" s="155">
        <f>+IF(OR($Q73=Parametres!$G$2,$Q73=Parametres!$G$3),K73,E73)</f>
        <v>0.2</v>
      </c>
      <c r="Q73" s="154" t="str">
        <f t="shared" si="6"/>
        <v>1-Mémo</v>
      </c>
      <c r="R73" s="153" t="str">
        <f t="shared" si="6"/>
        <v>50</v>
      </c>
      <c r="S73" s="154">
        <f t="shared" si="6"/>
        <v>0</v>
      </c>
      <c r="T73" s="156" t="str">
        <f>+VLOOKUP($L73,Data_Validation!$A:$D,1,0)</f>
        <v>655</v>
      </c>
      <c r="U73" s="156">
        <f>+VLOOKUP($L73,Data_Validation!$A:$D,3,0)</f>
        <v>0</v>
      </c>
      <c r="V73" s="156">
        <f>+VLOOKUP($L73,Data_Validation!$A:$D,4,0)</f>
        <v>0</v>
      </c>
      <c r="W73" s="156" t="str">
        <f>+VLOOKUP($L73,Data_Validation!$A:$E,5,0)</f>
        <v>$</v>
      </c>
      <c r="X73" s="156">
        <f>+VLOOKUP($L73,Data_Validation!$A:$F,6,0)</f>
        <v>0</v>
      </c>
    </row>
    <row r="74" spans="1:24" ht="15" hidden="1" customHeight="1">
      <c r="A74" s="1012" t="s">
        <v>2376</v>
      </c>
      <c r="B74" s="1012" t="s">
        <v>2377</v>
      </c>
      <c r="C74" s="1014"/>
      <c r="D74" s="1014"/>
      <c r="E74" s="1014"/>
      <c r="F74" s="1012" t="s">
        <v>1</v>
      </c>
      <c r="G74" s="1012" t="s">
        <v>2215</v>
      </c>
      <c r="H74" s="1013"/>
      <c r="I74" s="1013">
        <v>0.2</v>
      </c>
      <c r="J74" s="1013">
        <v>0</v>
      </c>
      <c r="K74" s="1013">
        <v>0.2</v>
      </c>
      <c r="L74" s="153" t="str">
        <f t="shared" si="0"/>
        <v>657</v>
      </c>
      <c r="M74" s="154" t="str">
        <f t="shared" si="1"/>
        <v>DIR. ADMINIS. PIECES</v>
      </c>
      <c r="N74" s="155">
        <f>+IF(OR($Q74=Parametres!$G$2,$Q74=Parametres!$G$3),I74,C74)</f>
        <v>0.2</v>
      </c>
      <c r="O74" s="155">
        <f>+IF(OR($Q74=Parametres!$G$2,$Q74=Parametres!$G$3),J74,D74)</f>
        <v>0</v>
      </c>
      <c r="P74" s="155">
        <f>+IF(OR($Q74=Parametres!$G$2,$Q74=Parametres!$G$3),K74,E74)</f>
        <v>0.2</v>
      </c>
      <c r="Q74" s="154" t="str">
        <f t="shared" si="6"/>
        <v>1-Mémo</v>
      </c>
      <c r="R74" s="153" t="str">
        <f t="shared" si="6"/>
        <v>50</v>
      </c>
      <c r="S74" s="154">
        <f t="shared" si="6"/>
        <v>0</v>
      </c>
      <c r="T74" s="156" t="str">
        <f>+VLOOKUP($L74,Data_Validation!$A:$D,1,0)</f>
        <v>657</v>
      </c>
      <c r="U74" s="156">
        <f>+VLOOKUP($L74,Data_Validation!$A:$D,3,0)</f>
        <v>0</v>
      </c>
      <c r="V74" s="156">
        <f>+VLOOKUP($L74,Data_Validation!$A:$D,4,0)</f>
        <v>0</v>
      </c>
      <c r="W74" s="156" t="str">
        <f>+VLOOKUP($L74,Data_Validation!$A:$E,5,0)</f>
        <v>$</v>
      </c>
      <c r="X74" s="156">
        <f>+VLOOKUP($L74,Data_Validation!$A:$F,6,0)</f>
        <v>0</v>
      </c>
    </row>
    <row r="75" spans="1:24" ht="15" hidden="1" customHeight="1">
      <c r="A75" s="1012" t="s">
        <v>2378</v>
      </c>
      <c r="B75" s="1012" t="s">
        <v>2379</v>
      </c>
      <c r="C75" s="1034"/>
      <c r="D75" s="1034"/>
      <c r="E75" s="1034"/>
      <c r="F75" s="1012" t="s">
        <v>1</v>
      </c>
      <c r="G75" s="1012" t="s">
        <v>2215</v>
      </c>
      <c r="H75" s="1013"/>
      <c r="I75" s="1014">
        <v>1</v>
      </c>
      <c r="J75" s="1014">
        <v>0</v>
      </c>
      <c r="K75" s="1014">
        <v>1</v>
      </c>
      <c r="L75" s="153" t="str">
        <f t="shared" si="0"/>
        <v>661</v>
      </c>
      <c r="M75" s="154" t="str">
        <f t="shared" si="1"/>
        <v>PERSONELS CLER. NEUFS</v>
      </c>
      <c r="N75" s="155">
        <f>+IF(OR($Q75=Parametres!$G$2,$Q75=Parametres!$G$3),I75,C75)</f>
        <v>1</v>
      </c>
      <c r="O75" s="155">
        <f>+IF(OR($Q75=Parametres!$G$2,$Q75=Parametres!$G$3),J75,D75)</f>
        <v>0</v>
      </c>
      <c r="P75" s="155">
        <f>+IF(OR($Q75=Parametres!$G$2,$Q75=Parametres!$G$3),K75,E75)</f>
        <v>1</v>
      </c>
      <c r="Q75" s="154" t="str">
        <f t="shared" si="6"/>
        <v>1-Mémo</v>
      </c>
      <c r="R75" s="153" t="str">
        <f t="shared" si="6"/>
        <v>50</v>
      </c>
      <c r="S75" s="154">
        <f t="shared" si="6"/>
        <v>0</v>
      </c>
      <c r="T75" s="156" t="str">
        <f>+VLOOKUP($L75,Data_Validation!$A:$D,1,0)</f>
        <v>661</v>
      </c>
      <c r="U75" s="156">
        <f>+VLOOKUP($L75,Data_Validation!$A:$D,3,0)</f>
        <v>0</v>
      </c>
      <c r="V75" s="156">
        <f>+VLOOKUP($L75,Data_Validation!$A:$D,4,0)</f>
        <v>0</v>
      </c>
      <c r="W75" s="156" t="str">
        <f>+VLOOKUP($L75,Data_Validation!$A:$E,5,0)</f>
        <v>$</v>
      </c>
      <c r="X75" s="156">
        <f>+VLOOKUP($L75,Data_Validation!$A:$F,6,0)</f>
        <v>0</v>
      </c>
    </row>
    <row r="76" spans="1:24" ht="15" hidden="1" customHeight="1">
      <c r="A76" s="1012" t="s">
        <v>2380</v>
      </c>
      <c r="B76" s="1012" t="s">
        <v>2381</v>
      </c>
      <c r="C76" s="1014"/>
      <c r="D76" s="1014"/>
      <c r="E76" s="1014"/>
      <c r="F76" s="1012" t="s">
        <v>1</v>
      </c>
      <c r="G76" s="1012" t="s">
        <v>2215</v>
      </c>
      <c r="H76" s="1013"/>
      <c r="I76" s="1013">
        <v>1</v>
      </c>
      <c r="J76" s="1013">
        <v>0</v>
      </c>
      <c r="K76" s="1013">
        <v>1</v>
      </c>
      <c r="L76" s="153" t="str">
        <f t="shared" si="0"/>
        <v>662</v>
      </c>
      <c r="M76" s="154" t="str">
        <f t="shared" si="1"/>
        <v>PERSONELS CLER. USAGES</v>
      </c>
      <c r="N76" s="155">
        <f>+IF(OR($Q76=Parametres!$G$2,$Q76=Parametres!$G$3),I76,C76)</f>
        <v>1</v>
      </c>
      <c r="O76" s="155">
        <f>+IF(OR($Q76=Parametres!$G$2,$Q76=Parametres!$G$3),J76,D76)</f>
        <v>0</v>
      </c>
      <c r="P76" s="155">
        <f>+IF(OR($Q76=Parametres!$G$2,$Q76=Parametres!$G$3),K76,E76)</f>
        <v>1</v>
      </c>
      <c r="Q76" s="154" t="str">
        <f t="shared" si="6"/>
        <v>1-Mémo</v>
      </c>
      <c r="R76" s="153" t="str">
        <f t="shared" si="6"/>
        <v>50</v>
      </c>
      <c r="S76" s="154">
        <f t="shared" si="6"/>
        <v>0</v>
      </c>
      <c r="T76" s="156" t="str">
        <f>+VLOOKUP($L76,Data_Validation!$A:$D,1,0)</f>
        <v>662</v>
      </c>
      <c r="U76" s="156">
        <f>+VLOOKUP($L76,Data_Validation!$A:$D,3,0)</f>
        <v>0</v>
      </c>
      <c r="V76" s="156">
        <f>+VLOOKUP($L76,Data_Validation!$A:$D,4,0)</f>
        <v>0</v>
      </c>
      <c r="W76" s="156" t="str">
        <f>+VLOOKUP($L76,Data_Validation!$A:$E,5,0)</f>
        <v>$</v>
      </c>
      <c r="X76" s="156">
        <f>+VLOOKUP($L76,Data_Validation!$A:$F,6,0)</f>
        <v>0</v>
      </c>
    </row>
    <row r="77" spans="1:24" ht="15" hidden="1" customHeight="1">
      <c r="A77" s="1012" t="s">
        <v>2382</v>
      </c>
      <c r="B77" s="1012" t="s">
        <v>2383</v>
      </c>
      <c r="C77" s="1014"/>
      <c r="D77" s="1014"/>
      <c r="E77" s="1014"/>
      <c r="F77" s="1012" t="s">
        <v>1</v>
      </c>
      <c r="G77" s="1012" t="s">
        <v>2215</v>
      </c>
      <c r="H77" s="1013"/>
      <c r="I77" s="1013">
        <v>1</v>
      </c>
      <c r="J77" s="1013">
        <v>0</v>
      </c>
      <c r="K77" s="1013">
        <v>1</v>
      </c>
      <c r="L77" s="153" t="str">
        <f t="shared" si="0"/>
        <v>664</v>
      </c>
      <c r="M77" s="154" t="str">
        <f t="shared" si="1"/>
        <v>PERSONELS CLER. SERVICE</v>
      </c>
      <c r="N77" s="155">
        <f>+IF(OR($Q77=Parametres!$G$2,$Q77=Parametres!$G$3),I77,C77)</f>
        <v>1</v>
      </c>
      <c r="O77" s="155">
        <f>+IF(OR($Q77=Parametres!$G$2,$Q77=Parametres!$G$3),J77,D77)</f>
        <v>0</v>
      </c>
      <c r="P77" s="155">
        <f>+IF(OR($Q77=Parametres!$G$2,$Q77=Parametres!$G$3),K77,E77)</f>
        <v>1</v>
      </c>
      <c r="Q77" s="154" t="str">
        <f t="shared" si="6"/>
        <v>1-Mémo</v>
      </c>
      <c r="R77" s="153" t="str">
        <f t="shared" si="6"/>
        <v>50</v>
      </c>
      <c r="S77" s="154">
        <f t="shared" si="6"/>
        <v>0</v>
      </c>
      <c r="T77" s="156" t="str">
        <f>+VLOOKUP($L77,Data_Validation!$A:$D,1,0)</f>
        <v>664</v>
      </c>
      <c r="U77" s="156">
        <f>+VLOOKUP($L77,Data_Validation!$A:$D,3,0)</f>
        <v>0</v>
      </c>
      <c r="V77" s="156">
        <f>+VLOOKUP($L77,Data_Validation!$A:$D,4,0)</f>
        <v>0</v>
      </c>
      <c r="W77" s="156" t="str">
        <f>+VLOOKUP($L77,Data_Validation!$A:$E,5,0)</f>
        <v>$</v>
      </c>
      <c r="X77" s="156">
        <f>+VLOOKUP($L77,Data_Validation!$A:$F,6,0)</f>
        <v>0</v>
      </c>
    </row>
    <row r="78" spans="1:24" ht="15" hidden="1" customHeight="1">
      <c r="A78" s="1012" t="s">
        <v>2384</v>
      </c>
      <c r="B78" s="1012" t="s">
        <v>2385</v>
      </c>
      <c r="C78" s="1014"/>
      <c r="D78" s="1014"/>
      <c r="E78" s="1014"/>
      <c r="F78" s="1012" t="s">
        <v>1</v>
      </c>
      <c r="G78" s="1012" t="s">
        <v>2215</v>
      </c>
      <c r="H78" s="1013"/>
      <c r="I78" s="1013">
        <v>1</v>
      </c>
      <c r="J78" s="1013">
        <v>0</v>
      </c>
      <c r="K78" s="1013">
        <v>1</v>
      </c>
      <c r="L78" s="153" t="str">
        <f t="shared" si="0"/>
        <v>667</v>
      </c>
      <c r="M78" s="154" t="str">
        <f t="shared" si="1"/>
        <v>PERSONELS CLER. PIECES</v>
      </c>
      <c r="N78" s="155">
        <f>+IF(OR($Q78=Parametres!$G$2,$Q78=Parametres!$G$3),I78,C78)</f>
        <v>1</v>
      </c>
      <c r="O78" s="575">
        <f>+IF(OR($Q78=Parametres!$G$2,$Q78=Parametres!$G$3),J78,D78)</f>
        <v>0</v>
      </c>
      <c r="P78" s="155">
        <f>+IF(OR($Q78=Parametres!$G$2,$Q78=Parametres!$G$3),K78,E78)</f>
        <v>1</v>
      </c>
      <c r="Q78" s="154" t="str">
        <f t="shared" si="6"/>
        <v>1-Mémo</v>
      </c>
      <c r="R78" s="153" t="str">
        <f t="shared" si="6"/>
        <v>50</v>
      </c>
      <c r="S78" s="154">
        <f t="shared" si="6"/>
        <v>0</v>
      </c>
      <c r="T78" s="156" t="str">
        <f>+VLOOKUP($L78,Data_Validation!$A:$D,1,0)</f>
        <v>667</v>
      </c>
      <c r="U78" s="156">
        <f>+VLOOKUP($L78,Data_Validation!$A:$D,3,0)</f>
        <v>0</v>
      </c>
      <c r="V78" s="156">
        <f>+VLOOKUP($L78,Data_Validation!$A:$D,4,0)</f>
        <v>0</v>
      </c>
      <c r="W78" s="156" t="str">
        <f>+VLOOKUP($L78,Data_Validation!$A:$E,5,0)</f>
        <v>$</v>
      </c>
      <c r="X78" s="156">
        <f>+VLOOKUP($L78,Data_Validation!$A:$F,6,0)</f>
        <v>0</v>
      </c>
    </row>
    <row r="79" spans="1:24" ht="15" hidden="1" customHeight="1">
      <c r="A79" s="1012" t="s">
        <v>2386</v>
      </c>
      <c r="B79" s="1012" t="s">
        <v>2387</v>
      </c>
      <c r="C79" s="1034"/>
      <c r="D79" s="1034"/>
      <c r="E79" s="1034"/>
      <c r="F79" s="1012" t="s">
        <v>1</v>
      </c>
      <c r="G79" s="1012" t="s">
        <v>2388</v>
      </c>
      <c r="H79" s="1013"/>
      <c r="I79" s="1014">
        <v>3</v>
      </c>
      <c r="J79" s="1014">
        <v>0</v>
      </c>
      <c r="K79" s="1014">
        <v>3</v>
      </c>
      <c r="L79" s="153" t="str">
        <f t="shared" si="0"/>
        <v>677</v>
      </c>
      <c r="M79" s="154" t="str">
        <f t="shared" si="1"/>
        <v>VW PIECES</v>
      </c>
      <c r="N79" s="155">
        <f>+IF(OR($Q79=Parametres!$G$2,$Q79=Parametres!$G$3),I79,C79)</f>
        <v>3</v>
      </c>
      <c r="O79" s="155">
        <f>+IF(OR($Q79=Parametres!$G$2,$Q79=Parametres!$G$3),J79,D79)</f>
        <v>0</v>
      </c>
      <c r="P79" s="155">
        <f>+IF(OR($Q79=Parametres!$G$2,$Q79=Parametres!$G$3),K79,E79)</f>
        <v>3</v>
      </c>
      <c r="Q79" s="154" t="str">
        <f t="shared" si="6"/>
        <v>1-Mémo</v>
      </c>
      <c r="R79" s="153" t="str">
        <f t="shared" si="6"/>
        <v>67</v>
      </c>
      <c r="S79" s="154">
        <f t="shared" si="6"/>
        <v>0</v>
      </c>
      <c r="T79" s="156" t="str">
        <f>+VLOOKUP($L79,Data_Validation!$A:$D,1,0)</f>
        <v>677</v>
      </c>
      <c r="U79" s="156">
        <f>+VLOOKUP($L79,Data_Validation!$A:$D,3,0)</f>
        <v>0</v>
      </c>
      <c r="V79" s="156">
        <f>+VLOOKUP($L79,Data_Validation!$A:$D,4,0)</f>
        <v>0</v>
      </c>
      <c r="W79" s="156" t="str">
        <f>+VLOOKUP($L79,Data_Validation!$A:$E,5,0)</f>
        <v>$</v>
      </c>
      <c r="X79" s="156">
        <f>+VLOOKUP($L79,Data_Validation!$A:$F,6,0)</f>
        <v>0</v>
      </c>
    </row>
    <row r="80" spans="1:24" ht="15.75" hidden="1" customHeight="1">
      <c r="A80" s="1012" t="s">
        <v>2854</v>
      </c>
      <c r="B80" s="1012" t="s">
        <v>2393</v>
      </c>
      <c r="C80" s="1014">
        <v>702011.61</v>
      </c>
      <c r="D80" s="1014">
        <v>567852.43000000005</v>
      </c>
      <c r="E80" s="1014">
        <v>1269864.04</v>
      </c>
      <c r="F80" s="1012" t="s">
        <v>293</v>
      </c>
      <c r="G80" s="1012" t="s">
        <v>2393</v>
      </c>
      <c r="H80" s="1013"/>
      <c r="I80" s="1013"/>
      <c r="J80" s="1013"/>
      <c r="K80" s="1013"/>
      <c r="L80" s="153" t="str">
        <f t="shared" si="0"/>
        <v>1102</v>
      </c>
      <c r="M80" s="154" t="str">
        <f t="shared" si="1"/>
        <v>BANQUE DE COMMERCE C/C</v>
      </c>
      <c r="N80" s="155">
        <f>+IF(OR($Q80=Parametres!$G$2,$Q80=Parametres!$G$3),I80,C80)</f>
        <v>702011.61</v>
      </c>
      <c r="O80" s="155">
        <f>+IF(OR($Q80=Parametres!$G$2,$Q80=Parametres!$G$3),J80,D80)</f>
        <v>567852.43000000005</v>
      </c>
      <c r="P80" s="155">
        <f>+IF(OR($Q80=Parametres!$G$2,$Q80=Parametres!$G$3),K80,E80)</f>
        <v>1269864.04</v>
      </c>
      <c r="Q80" s="154" t="str">
        <f t="shared" si="6"/>
        <v>2-Actifs</v>
      </c>
      <c r="R80" s="153" t="str">
        <f t="shared" si="6"/>
        <v>1102</v>
      </c>
      <c r="S80" s="154">
        <f t="shared" si="6"/>
        <v>0</v>
      </c>
      <c r="T80" s="156" t="str">
        <f>+VLOOKUP($L80,Data_Validation!$A:$D,1,0)</f>
        <v>1102</v>
      </c>
      <c r="U80" s="156" t="str">
        <f>+VLOOKUP($L80,Data_Validation!$A:$D,3,0)</f>
        <v>Bilan</v>
      </c>
      <c r="V80" s="156" t="str">
        <f>+VLOOKUP($L80,Data_Validation!$A:$D,4,0)</f>
        <v>Encaisse</v>
      </c>
      <c r="W80" s="156" t="str">
        <f>+VLOOKUP($L80,Data_Validation!$A:$E,5,0)</f>
        <v>$</v>
      </c>
      <c r="X80" s="156">
        <f>+VLOOKUP($L80,Data_Validation!$A:$F,6,0)</f>
        <v>0</v>
      </c>
    </row>
    <row r="81" spans="1:24" ht="15" hidden="1" customHeight="1">
      <c r="A81" s="1012" t="s">
        <v>2391</v>
      </c>
      <c r="B81" s="1012" t="s">
        <v>2392</v>
      </c>
      <c r="C81" s="1014">
        <v>150</v>
      </c>
      <c r="D81" s="1014">
        <v>0</v>
      </c>
      <c r="E81" s="1014">
        <v>150</v>
      </c>
      <c r="F81" s="1012" t="s">
        <v>293</v>
      </c>
      <c r="G81" s="1012" t="s">
        <v>2393</v>
      </c>
      <c r="H81" s="971"/>
      <c r="I81" s="972"/>
      <c r="J81" s="972"/>
      <c r="K81" s="972"/>
      <c r="L81" s="153" t="str">
        <f t="shared" si="0"/>
        <v>1182</v>
      </c>
      <c r="M81" s="154" t="str">
        <f t="shared" si="1"/>
        <v>PETITE CAISSE</v>
      </c>
      <c r="N81" s="155">
        <f>+IF(OR($Q81=Parametres!$G$2,$Q81=Parametres!$G$3),I81,C81)</f>
        <v>150</v>
      </c>
      <c r="O81" s="155">
        <f>+IF(OR($Q81=Parametres!$G$2,$Q81=Parametres!$G$3),J81,D81)</f>
        <v>0</v>
      </c>
      <c r="P81" s="155">
        <f>+IF(OR($Q81=Parametres!$G$2,$Q81=Parametres!$G$3),K81,E81)</f>
        <v>150</v>
      </c>
      <c r="Q81" s="154" t="str">
        <f t="shared" si="6"/>
        <v>2-Actifs</v>
      </c>
      <c r="R81" s="153" t="str">
        <f t="shared" si="6"/>
        <v>1102</v>
      </c>
      <c r="S81" s="154">
        <f t="shared" si="6"/>
        <v>0</v>
      </c>
      <c r="T81" s="156" t="str">
        <f>+VLOOKUP($L81,Data_Validation!$A:$D,1,0)</f>
        <v>1182</v>
      </c>
      <c r="U81" s="156" t="str">
        <f>+VLOOKUP($L81,Data_Validation!$A:$D,3,0)</f>
        <v>Bilan</v>
      </c>
      <c r="V81" s="156" t="str">
        <f>+VLOOKUP($L81,Data_Validation!$A:$D,4,0)</f>
        <v>Encaisse</v>
      </c>
      <c r="W81" s="156" t="str">
        <f>+VLOOKUP($L81,Data_Validation!$A:$E,5,0)</f>
        <v>$</v>
      </c>
      <c r="X81" s="156">
        <f>+VLOOKUP($L81,Data_Validation!$A:$F,6,0)</f>
        <v>0</v>
      </c>
    </row>
    <row r="82" spans="1:24" ht="15" hidden="1" customHeight="1">
      <c r="A82" s="1012" t="s">
        <v>2183</v>
      </c>
      <c r="B82" s="1012" t="s">
        <v>2184</v>
      </c>
      <c r="C82" s="1014">
        <v>1207507.7</v>
      </c>
      <c r="D82" s="1014">
        <v>-82880.639999999999</v>
      </c>
      <c r="E82" s="1014">
        <v>1124627.06</v>
      </c>
      <c r="F82" s="1012" t="s">
        <v>293</v>
      </c>
      <c r="G82" s="1012" t="s">
        <v>2184</v>
      </c>
      <c r="H82" s="971"/>
      <c r="I82" s="972"/>
      <c r="J82" s="972"/>
      <c r="K82" s="972"/>
      <c r="L82" s="153" t="str">
        <f t="shared" si="0"/>
        <v>1202</v>
      </c>
      <c r="M82" s="154" t="str">
        <f t="shared" si="1"/>
        <v>CONTRATS EN TRANSIT</v>
      </c>
      <c r="N82" s="155">
        <f>+IF(OR($Q82=Parametres!$G$2,$Q82=Parametres!$G$3),I82,C82)</f>
        <v>1207507.7</v>
      </c>
      <c r="O82" s="155">
        <f>+IF(OR($Q82=Parametres!$G$2,$Q82=Parametres!$G$3),J82,D82)</f>
        <v>-82880.639999999999</v>
      </c>
      <c r="P82" s="155">
        <f>+IF(OR($Q82=Parametres!$G$2,$Q82=Parametres!$G$3),K82,E82)</f>
        <v>1124627.06</v>
      </c>
      <c r="Q82" s="154" t="str">
        <f t="shared" ref="Q82:S97" si="7">+F82</f>
        <v>2-Actifs</v>
      </c>
      <c r="R82" s="153" t="str">
        <f t="shared" si="7"/>
        <v>1202</v>
      </c>
      <c r="S82" s="154">
        <f t="shared" si="7"/>
        <v>0</v>
      </c>
      <c r="T82" s="156" t="str">
        <f>+VLOOKUP($L82,Data_Validation!$A:$D,1,0)</f>
        <v>1202</v>
      </c>
      <c r="U82" s="156" t="str">
        <f>+VLOOKUP($L82,Data_Validation!$A:$D,3,0)</f>
        <v>Bilan</v>
      </c>
      <c r="V82" s="156" t="str">
        <f>+VLOOKUP($L82,Data_Validation!$A:$D,4,0)</f>
        <v>Recevables Contrats en Transit</v>
      </c>
      <c r="W82" s="156" t="str">
        <f>+VLOOKUP($L82,Data_Validation!$A:$E,5,0)</f>
        <v>$</v>
      </c>
      <c r="X82" s="156">
        <f>+VLOOKUP($L82,Data_Validation!$A:$F,6,0)</f>
        <v>0</v>
      </c>
    </row>
    <row r="83" spans="1:24" ht="15" hidden="1" customHeight="1">
      <c r="A83" s="1012" t="s">
        <v>2027</v>
      </c>
      <c r="B83" s="1012" t="s">
        <v>2017</v>
      </c>
      <c r="C83" s="1014">
        <v>89908.26</v>
      </c>
      <c r="D83" s="1014">
        <v>31133.93</v>
      </c>
      <c r="E83" s="1014">
        <v>121042.19</v>
      </c>
      <c r="F83" s="1012" t="s">
        <v>293</v>
      </c>
      <c r="G83" s="1012" t="s">
        <v>2017</v>
      </c>
      <c r="H83" s="971"/>
      <c r="I83" s="972"/>
      <c r="J83" s="972"/>
      <c r="K83" s="972"/>
      <c r="L83" s="153" t="str">
        <f t="shared" si="0"/>
        <v>1302</v>
      </c>
      <c r="M83" s="154" t="str">
        <f t="shared" si="1"/>
        <v>RECEVABLE-CLIENT-VEHICULE</v>
      </c>
      <c r="N83" s="155">
        <f>+IF(OR($Q83=Parametres!$G$2,$Q83=Parametres!$G$3),I83,C83)</f>
        <v>89908.26</v>
      </c>
      <c r="O83" s="155">
        <f>+IF(OR($Q83=Parametres!$G$2,$Q83=Parametres!$G$3),J83,D83)</f>
        <v>31133.93</v>
      </c>
      <c r="P83" s="155">
        <f>+IF(OR($Q83=Parametres!$G$2,$Q83=Parametres!$G$3),K83,E83)</f>
        <v>121042.19</v>
      </c>
      <c r="Q83" s="154" t="str">
        <f t="shared" si="7"/>
        <v>2-Actifs</v>
      </c>
      <c r="R83" s="153" t="str">
        <f t="shared" si="7"/>
        <v>1302</v>
      </c>
      <c r="S83" s="154">
        <f t="shared" si="7"/>
        <v>0</v>
      </c>
      <c r="T83" s="156" t="str">
        <f>+VLOOKUP($L83,Data_Validation!$A:$D,1,0)</f>
        <v>1302</v>
      </c>
      <c r="U83" s="156" t="str">
        <f>+VLOOKUP($L83,Data_Validation!$A:$D,3,0)</f>
        <v>Bilan</v>
      </c>
      <c r="V83" s="156" t="str">
        <f>+VLOOKUP($L83,Data_Validation!$A:$D,4,0)</f>
        <v>Recevables Véhicules</v>
      </c>
      <c r="W83" s="156" t="str">
        <f>+VLOOKUP($L83,Data_Validation!$A:$E,5,0)</f>
        <v>$</v>
      </c>
      <c r="X83" s="156">
        <f>+VLOOKUP($L83,Data_Validation!$A:$F,6,0)</f>
        <v>0</v>
      </c>
    </row>
    <row r="84" spans="1:24" ht="15.75" hidden="1" customHeight="1">
      <c r="A84" s="1012" t="s">
        <v>2015</v>
      </c>
      <c r="B84" s="1012" t="s">
        <v>2016</v>
      </c>
      <c r="C84" s="1014">
        <v>-71050.95</v>
      </c>
      <c r="D84" s="1014">
        <v>321429.83</v>
      </c>
      <c r="E84" s="1014">
        <v>250378.88</v>
      </c>
      <c r="F84" s="1012" t="s">
        <v>293</v>
      </c>
      <c r="G84" s="1012" t="s">
        <v>2017</v>
      </c>
      <c r="H84" s="971"/>
      <c r="I84" s="972"/>
      <c r="J84" s="972"/>
      <c r="K84" s="972"/>
      <c r="L84" s="153" t="str">
        <f t="shared" si="0"/>
        <v>1303</v>
      </c>
      <c r="M84" s="154" t="str">
        <f t="shared" si="1"/>
        <v>RECEVABLES LPA ET AU GROS</v>
      </c>
      <c r="N84" s="155">
        <f>+IF(OR($Q84=Parametres!$G$2,$Q84=Parametres!$G$3),I84,C84)</f>
        <v>-71050.95</v>
      </c>
      <c r="O84" s="575">
        <f>+IF(OR($Q84=Parametres!$G$2,$Q84=Parametres!$G$3),J84,D84)</f>
        <v>321429.83</v>
      </c>
      <c r="P84" s="155">
        <f>+IF(OR($Q84=Parametres!$G$2,$Q84=Parametres!$G$3),K84,E84)</f>
        <v>250378.88</v>
      </c>
      <c r="Q84" s="154" t="str">
        <f t="shared" si="7"/>
        <v>2-Actifs</v>
      </c>
      <c r="R84" s="153" t="str">
        <f t="shared" si="7"/>
        <v>1302</v>
      </c>
      <c r="S84" s="154">
        <f t="shared" si="7"/>
        <v>0</v>
      </c>
      <c r="T84" s="156" t="str">
        <f>+VLOOKUP($L84,Data_Validation!$A:$D,1,0)</f>
        <v>1303</v>
      </c>
      <c r="U84" s="156" t="str">
        <f>+VLOOKUP($L84,Data_Validation!$A:$D,3,0)</f>
        <v>Bilan</v>
      </c>
      <c r="V84" s="156" t="str">
        <f>+VLOOKUP($L84,Data_Validation!$A:$D,4,0)</f>
        <v>Recevables Véhicules</v>
      </c>
      <c r="W84" s="156" t="str">
        <f>+VLOOKUP($L84,Data_Validation!$A:$E,5,0)</f>
        <v>$</v>
      </c>
      <c r="X84" s="156">
        <f>+VLOOKUP($L84,Data_Validation!$A:$F,6,0)</f>
        <v>0</v>
      </c>
    </row>
    <row r="85" spans="1:24" ht="15" hidden="1" customHeight="1">
      <c r="A85" s="1012" t="s">
        <v>2102</v>
      </c>
      <c r="B85" s="1012" t="s">
        <v>2103</v>
      </c>
      <c r="C85" s="1014">
        <v>67460.22</v>
      </c>
      <c r="D85" s="1014">
        <v>-6847.31</v>
      </c>
      <c r="E85" s="1014">
        <v>60612.91</v>
      </c>
      <c r="F85" s="1012" t="s">
        <v>293</v>
      </c>
      <c r="G85" s="1012" t="s">
        <v>2103</v>
      </c>
      <c r="H85" s="971"/>
      <c r="I85" s="972"/>
      <c r="J85" s="972"/>
      <c r="K85" s="972"/>
      <c r="L85" s="153" t="str">
        <f t="shared" si="0"/>
        <v>1304</v>
      </c>
      <c r="M85" s="154" t="str">
        <f t="shared" si="1"/>
        <v>RECEVABLES PIECES &amp; SERVICE</v>
      </c>
      <c r="N85" s="155">
        <f>+IF(OR($Q85=Parametres!$G$2,$Q85=Parametres!$G$3),I85,C85)</f>
        <v>67460.22</v>
      </c>
      <c r="O85" s="575">
        <f>+IF(OR($Q85=Parametres!$G$2,$Q85=Parametres!$G$3),J85,D85)</f>
        <v>-6847.31</v>
      </c>
      <c r="P85" s="155">
        <f>+IF(OR($Q85=Parametres!$G$2,$Q85=Parametres!$G$3),K85,E85)</f>
        <v>60612.91</v>
      </c>
      <c r="Q85" s="154" t="str">
        <f t="shared" si="7"/>
        <v>2-Actifs</v>
      </c>
      <c r="R85" s="153" t="str">
        <f t="shared" si="7"/>
        <v>1304</v>
      </c>
      <c r="S85" s="154">
        <f t="shared" si="7"/>
        <v>0</v>
      </c>
      <c r="T85" s="156" t="str">
        <f>+VLOOKUP($L85,Data_Validation!$A:$D,1,0)</f>
        <v>1304</v>
      </c>
      <c r="U85" s="156" t="str">
        <f>+VLOOKUP($L85,Data_Validation!$A:$D,3,0)</f>
        <v>Bilan</v>
      </c>
      <c r="V85" s="156" t="str">
        <f>+VLOOKUP($L85,Data_Validation!$A:$D,4,0)</f>
        <v>Recevables Pièces et Service</v>
      </c>
      <c r="W85" s="156" t="str">
        <f>+VLOOKUP($L85,Data_Validation!$A:$E,5,0)</f>
        <v>$</v>
      </c>
      <c r="X85" s="156">
        <f>+VLOOKUP($L85,Data_Validation!$A:$F,6,0)</f>
        <v>0</v>
      </c>
    </row>
    <row r="86" spans="1:24" ht="15" hidden="1" customHeight="1">
      <c r="A86" s="1012" t="s">
        <v>2737</v>
      </c>
      <c r="B86" s="1012" t="s">
        <v>2738</v>
      </c>
      <c r="C86" s="1014">
        <v>70633.539999999994</v>
      </c>
      <c r="D86" s="1014">
        <v>42460.51</v>
      </c>
      <c r="E86" s="1014">
        <v>113094.05</v>
      </c>
      <c r="F86" s="1012" t="s">
        <v>293</v>
      </c>
      <c r="G86" s="1012" t="s">
        <v>2103</v>
      </c>
      <c r="H86" s="971"/>
      <c r="I86" s="972"/>
      <c r="J86" s="972"/>
      <c r="K86" s="972"/>
      <c r="L86" s="153" t="str">
        <f t="shared" si="0"/>
        <v>1305</v>
      </c>
      <c r="M86" s="154" t="str">
        <f t="shared" si="1"/>
        <v>RECEVABLES CARROSSERIE</v>
      </c>
      <c r="N86" s="155">
        <f>+IF(OR($Q86=Parametres!$G$2,$Q86=Parametres!$G$3),I86,C86)</f>
        <v>70633.539999999994</v>
      </c>
      <c r="O86" s="155">
        <f>+IF(OR($Q86=Parametres!$G$2,$Q86=Parametres!$G$3),J86,D86)</f>
        <v>42460.51</v>
      </c>
      <c r="P86" s="155">
        <f>+IF(OR($Q86=Parametres!$G$2,$Q86=Parametres!$G$3),K86,E86)</f>
        <v>113094.05</v>
      </c>
      <c r="Q86" s="154" t="str">
        <f t="shared" si="7"/>
        <v>2-Actifs</v>
      </c>
      <c r="R86" s="153" t="str">
        <f t="shared" si="7"/>
        <v>1304</v>
      </c>
      <c r="S86" s="154">
        <f t="shared" si="7"/>
        <v>0</v>
      </c>
      <c r="T86" s="156" t="str">
        <f>+VLOOKUP($L86,Data_Validation!$A:$D,1,0)</f>
        <v>1305</v>
      </c>
      <c r="U86" s="156" t="str">
        <f>+VLOOKUP($L86,Data_Validation!$A:$D,3,0)</f>
        <v>Bilan</v>
      </c>
      <c r="V86" s="156" t="str">
        <f>+VLOOKUP($L86,Data_Validation!$A:$D,4,0)</f>
        <v>Recevables Carrosserie</v>
      </c>
      <c r="W86" s="156" t="str">
        <f>+VLOOKUP($L86,Data_Validation!$A:$E,5,0)</f>
        <v>$</v>
      </c>
      <c r="X86" s="156">
        <f>+VLOOKUP($L86,Data_Validation!$A:$F,6,0)</f>
        <v>0</v>
      </c>
    </row>
    <row r="87" spans="1:24" ht="15" hidden="1" customHeight="1">
      <c r="A87" s="1012" t="s">
        <v>2834</v>
      </c>
      <c r="B87" s="1012" t="s">
        <v>2835</v>
      </c>
      <c r="C87" s="1014">
        <v>356473</v>
      </c>
      <c r="D87" s="1014">
        <v>-86563</v>
      </c>
      <c r="E87" s="1014">
        <v>269910</v>
      </c>
      <c r="F87" s="1012" t="s">
        <v>293</v>
      </c>
      <c r="G87" s="1012" t="s">
        <v>2022</v>
      </c>
      <c r="H87" s="971"/>
      <c r="I87" s="972"/>
      <c r="J87" s="972"/>
      <c r="K87" s="972"/>
      <c r="L87" s="153" t="str">
        <f t="shared" si="0"/>
        <v>1312</v>
      </c>
      <c r="M87" s="154" t="str">
        <f t="shared" si="1"/>
        <v>RESEVE VOLKS</v>
      </c>
      <c r="N87" s="155">
        <f>+IF(OR($Q87=Parametres!$G$2,$Q87=Parametres!$G$3),I87,C87)</f>
        <v>356473</v>
      </c>
      <c r="O87" s="155">
        <f>+IF(OR($Q87=Parametres!$G$2,$Q87=Parametres!$G$3),J87,D87)</f>
        <v>-86563</v>
      </c>
      <c r="P87" s="155">
        <f>+IF(OR($Q87=Parametres!$G$2,$Q87=Parametres!$G$3),K87,E87)</f>
        <v>269910</v>
      </c>
      <c r="Q87" s="154" t="str">
        <f t="shared" si="7"/>
        <v>2-Actifs</v>
      </c>
      <c r="R87" s="153" t="str">
        <f t="shared" si="7"/>
        <v>1314</v>
      </c>
      <c r="S87" s="154">
        <f t="shared" si="7"/>
        <v>0</v>
      </c>
      <c r="T87" s="156" t="str">
        <f>+VLOOKUP($L87,Data_Validation!$A:$D,1,0)</f>
        <v>1312</v>
      </c>
      <c r="U87" s="156" t="str">
        <f>+VLOOKUP($L87,Data_Validation!$A:$D,3,0)</f>
        <v>Bilan</v>
      </c>
      <c r="V87" s="156" t="str">
        <f>+VLOOKUP($L87,Data_Validation!$A:$D,4,0)</f>
        <v>Recevables Manufacturier</v>
      </c>
      <c r="W87" s="156" t="str">
        <f>+VLOOKUP($L87,Data_Validation!$A:$E,5,0)</f>
        <v>$</v>
      </c>
      <c r="X87" s="156">
        <f>+VLOOKUP($L87,Data_Validation!$A:$F,6,0)</f>
        <v>0</v>
      </c>
    </row>
    <row r="88" spans="1:24" ht="15" hidden="1" customHeight="1">
      <c r="A88" s="1012" t="s">
        <v>2060</v>
      </c>
      <c r="B88" s="1012" t="s">
        <v>2061</v>
      </c>
      <c r="C88" s="1014">
        <v>302874.65999999997</v>
      </c>
      <c r="D88" s="1014">
        <v>13943.42</v>
      </c>
      <c r="E88" s="1014">
        <v>316818.08</v>
      </c>
      <c r="F88" s="1012" t="s">
        <v>293</v>
      </c>
      <c r="G88" s="1012" t="s">
        <v>2061</v>
      </c>
      <c r="H88" s="971"/>
      <c r="I88" s="972"/>
      <c r="J88" s="972"/>
      <c r="K88" s="972"/>
      <c r="L88" s="153" t="str">
        <f t="shared" si="0"/>
        <v>1332</v>
      </c>
      <c r="M88" s="154" t="str">
        <f t="shared" si="1"/>
        <v>RECLAM. RECEVABLE-GARANTIE</v>
      </c>
      <c r="N88" s="155">
        <f>+IF(OR($Q88=Parametres!$G$2,$Q88=Parametres!$G$3),I88,C88)</f>
        <v>302874.65999999997</v>
      </c>
      <c r="O88" s="575">
        <f>+IF(OR($Q88=Parametres!$G$2,$Q88=Parametres!$G$3),J88,D88)</f>
        <v>13943.42</v>
      </c>
      <c r="P88" s="155">
        <f>+IF(OR($Q88=Parametres!$G$2,$Q88=Parametres!$G$3),K88,E88)</f>
        <v>316818.08</v>
      </c>
      <c r="Q88" s="154" t="str">
        <f t="shared" si="7"/>
        <v>2-Actifs</v>
      </c>
      <c r="R88" s="153" t="str">
        <f t="shared" si="7"/>
        <v>1332</v>
      </c>
      <c r="S88" s="154">
        <f t="shared" si="7"/>
        <v>0</v>
      </c>
      <c r="T88" s="156" t="str">
        <f>+VLOOKUP($L88,Data_Validation!$A:$D,1,0)</f>
        <v>1332</v>
      </c>
      <c r="U88" s="156" t="str">
        <f>+VLOOKUP($L88,Data_Validation!$A:$D,3,0)</f>
        <v>Bilan</v>
      </c>
      <c r="V88" s="156" t="str">
        <f>+VLOOKUP($L88,Data_Validation!$A:$D,4,0)</f>
        <v>Recevables Garantie Manufacturier</v>
      </c>
      <c r="W88" s="156" t="str">
        <f>+VLOOKUP($L88,Data_Validation!$A:$E,5,0)</f>
        <v>$</v>
      </c>
      <c r="X88" s="156">
        <f>+VLOOKUP($L88,Data_Validation!$A:$F,6,0)</f>
        <v>0</v>
      </c>
    </row>
    <row r="89" spans="1:24" ht="15" hidden="1" customHeight="1">
      <c r="A89" s="1012" t="s">
        <v>2783</v>
      </c>
      <c r="B89" s="1012" t="s">
        <v>2784</v>
      </c>
      <c r="C89" s="1014">
        <v>48947.45</v>
      </c>
      <c r="D89" s="1014">
        <v>6511.61</v>
      </c>
      <c r="E89" s="1014">
        <v>55459.06</v>
      </c>
      <c r="F89" s="1012" t="s">
        <v>293</v>
      </c>
      <c r="G89" s="1012" t="s">
        <v>2623</v>
      </c>
      <c r="H89" s="971"/>
      <c r="I89" s="972"/>
      <c r="J89" s="972"/>
      <c r="K89" s="972"/>
      <c r="L89" s="153" t="str">
        <f t="shared" si="0"/>
        <v>1340</v>
      </c>
      <c r="M89" s="154" t="str">
        <f t="shared" si="1"/>
        <v>GARANTIE PPM</v>
      </c>
      <c r="N89" s="155">
        <f>+IF(OR($Q89=Parametres!$G$2,$Q89=Parametres!$G$3),I89,C89)</f>
        <v>48947.45</v>
      </c>
      <c r="O89" s="155">
        <f>+IF(OR($Q89=Parametres!$G$2,$Q89=Parametres!$G$3),J89,D89)</f>
        <v>6511.61</v>
      </c>
      <c r="P89" s="155">
        <f>+IF(OR($Q89=Parametres!$G$2,$Q89=Parametres!$G$3),K89,E89)</f>
        <v>55459.06</v>
      </c>
      <c r="Q89" s="154" t="str">
        <f t="shared" si="7"/>
        <v>2-Actifs</v>
      </c>
      <c r="R89" s="153" t="str">
        <f t="shared" si="7"/>
        <v>1382</v>
      </c>
      <c r="S89" s="154">
        <f t="shared" si="7"/>
        <v>0</v>
      </c>
      <c r="T89" s="156" t="str">
        <f>+VLOOKUP($L89,Data_Validation!$A:$D,1,0)</f>
        <v>1340</v>
      </c>
      <c r="U89" s="156" t="str">
        <f>+VLOOKUP($L89,Data_Validation!$A:$D,3,0)</f>
        <v>Bilan</v>
      </c>
      <c r="V89" s="156" t="str">
        <f>+VLOOKUP($L89,Data_Validation!$A:$D,4,0)</f>
        <v>recevables Autres</v>
      </c>
      <c r="W89" s="156" t="str">
        <f>+VLOOKUP($L89,Data_Validation!$A:$E,5,0)</f>
        <v>$</v>
      </c>
      <c r="X89" s="156">
        <f>+VLOOKUP($L89,Data_Validation!$A:$F,6,0)</f>
        <v>0</v>
      </c>
    </row>
    <row r="90" spans="1:24" ht="15" hidden="1" customHeight="1">
      <c r="A90" s="1012" t="s">
        <v>2020</v>
      </c>
      <c r="B90" s="1012" t="s">
        <v>2021</v>
      </c>
      <c r="C90" s="1014">
        <v>165591.81</v>
      </c>
      <c r="D90" s="1014">
        <v>-50945.85</v>
      </c>
      <c r="E90" s="1014">
        <v>114645.96</v>
      </c>
      <c r="F90" s="1012" t="s">
        <v>293</v>
      </c>
      <c r="G90" s="1012" t="s">
        <v>2022</v>
      </c>
      <c r="H90" s="971"/>
      <c r="I90" s="972"/>
      <c r="J90" s="972"/>
      <c r="K90" s="972"/>
      <c r="L90" s="153" t="str">
        <f t="shared" si="0"/>
        <v>1352</v>
      </c>
      <c r="M90" s="154" t="str">
        <f t="shared" si="1"/>
        <v>RECEV. MANUFACTURIER VOLKS</v>
      </c>
      <c r="N90" s="155">
        <f>+IF(OR($Q90=Parametres!$G$2,$Q90=Parametres!$G$3),I90,C90)</f>
        <v>165591.81</v>
      </c>
      <c r="O90" s="155">
        <f>+IF(OR($Q90=Parametres!$G$2,$Q90=Parametres!$G$3),J90,D90)</f>
        <v>-50945.85</v>
      </c>
      <c r="P90" s="155">
        <f>+IF(OR($Q90=Parametres!$G$2,$Q90=Parametres!$G$3),K90,E90)</f>
        <v>114645.96</v>
      </c>
      <c r="Q90" s="154" t="str">
        <f t="shared" si="7"/>
        <v>2-Actifs</v>
      </c>
      <c r="R90" s="153" t="str">
        <f t="shared" si="7"/>
        <v>1314</v>
      </c>
      <c r="S90" s="154">
        <f t="shared" si="7"/>
        <v>0</v>
      </c>
      <c r="T90" s="156" t="str">
        <f>+VLOOKUP($L90,Data_Validation!$A:$D,1,0)</f>
        <v>1352</v>
      </c>
      <c r="U90" s="156" t="str">
        <f>+VLOOKUP($L90,Data_Validation!$A:$D,3,0)</f>
        <v>Bilan</v>
      </c>
      <c r="V90" s="156" t="str">
        <f>+VLOOKUP($L90,Data_Validation!$A:$D,4,0)</f>
        <v>Recevables Manufacturier</v>
      </c>
      <c r="W90" s="156" t="str">
        <f>+VLOOKUP($L90,Data_Validation!$A:$E,5,0)</f>
        <v>$</v>
      </c>
      <c r="X90" s="156">
        <f>+VLOOKUP($L90,Data_Validation!$A:$F,6,0)</f>
        <v>0</v>
      </c>
    </row>
    <row r="91" spans="1:24" ht="15" hidden="1" customHeight="1">
      <c r="A91" s="1012" t="s">
        <v>2621</v>
      </c>
      <c r="B91" s="1012" t="s">
        <v>2622</v>
      </c>
      <c r="C91" s="1014">
        <v>759.28</v>
      </c>
      <c r="D91" s="1014">
        <v>400</v>
      </c>
      <c r="E91" s="1014">
        <v>1159.28</v>
      </c>
      <c r="F91" s="1012" t="s">
        <v>293</v>
      </c>
      <c r="G91" s="1012" t="s">
        <v>2623</v>
      </c>
      <c r="H91" s="971"/>
      <c r="I91" s="972"/>
      <c r="J91" s="972"/>
      <c r="K91" s="972"/>
      <c r="L91" s="153" t="str">
        <f t="shared" si="0"/>
        <v>1364</v>
      </c>
      <c r="M91" s="154" t="str">
        <f t="shared" si="1"/>
        <v>A RECEVOIR LAR</v>
      </c>
      <c r="N91" s="155">
        <f>+IF(OR($Q91=Parametres!$G$2,$Q91=Parametres!$G$3),I91,C91)</f>
        <v>759.28</v>
      </c>
      <c r="O91" s="155">
        <f>+IF(OR($Q91=Parametres!$G$2,$Q91=Parametres!$G$3),J91,D91)</f>
        <v>400</v>
      </c>
      <c r="P91" s="155">
        <f>+IF(OR($Q91=Parametres!$G$2,$Q91=Parametres!$G$3),K91,E91)</f>
        <v>1159.28</v>
      </c>
      <c r="Q91" s="154" t="str">
        <f t="shared" si="7"/>
        <v>2-Actifs</v>
      </c>
      <c r="R91" s="153" t="str">
        <f t="shared" si="7"/>
        <v>1382</v>
      </c>
      <c r="S91" s="154">
        <f t="shared" si="7"/>
        <v>0</v>
      </c>
      <c r="T91" s="156" t="str">
        <f>+VLOOKUP($L91,Data_Validation!$A:$D,1,0)</f>
        <v>1364</v>
      </c>
      <c r="U91" s="156" t="str">
        <f>+VLOOKUP($L91,Data_Validation!$A:$D,3,0)</f>
        <v>Bilan</v>
      </c>
      <c r="V91" s="156" t="str">
        <f>+VLOOKUP($L91,Data_Validation!$A:$D,4,0)</f>
        <v>recevables Autres</v>
      </c>
      <c r="W91" s="156" t="str">
        <f>+VLOOKUP($L91,Data_Validation!$A:$E,5,0)</f>
        <v>$</v>
      </c>
      <c r="X91" s="156">
        <f>+VLOOKUP($L91,Data_Validation!$A:$F,6,0)</f>
        <v>0</v>
      </c>
    </row>
    <row r="92" spans="1:24" ht="15" hidden="1" customHeight="1">
      <c r="A92" s="1012" t="s">
        <v>2109</v>
      </c>
      <c r="B92" s="1012" t="s">
        <v>2110</v>
      </c>
      <c r="C92" s="1014">
        <v>10068882.869999999</v>
      </c>
      <c r="D92" s="1014">
        <v>2120934.1800000002</v>
      </c>
      <c r="E92" s="1014">
        <v>12189817.050000001</v>
      </c>
      <c r="F92" s="1012" t="s">
        <v>293</v>
      </c>
      <c r="G92" s="1012" t="s">
        <v>2110</v>
      </c>
      <c r="H92" s="971"/>
      <c r="I92" s="972"/>
      <c r="J92" s="972"/>
      <c r="K92" s="972"/>
      <c r="L92" s="153" t="str">
        <f t="shared" si="0"/>
        <v>1402</v>
      </c>
      <c r="M92" s="154" t="str">
        <f t="shared" si="1"/>
        <v>VEHIC. NEUFS VOLKS</v>
      </c>
      <c r="N92" s="155">
        <f>+IF(OR($Q92=Parametres!$G$2,$Q92=Parametres!$G$3),I92,C92)</f>
        <v>10068882.869999999</v>
      </c>
      <c r="O92" s="155">
        <f>+IF(OR($Q92=Parametres!$G$2,$Q92=Parametres!$G$3),J92,D92)</f>
        <v>2120934.1800000002</v>
      </c>
      <c r="P92" s="155">
        <f>+IF(OR($Q92=Parametres!$G$2,$Q92=Parametres!$G$3),K92,E92)</f>
        <v>12189817.050000001</v>
      </c>
      <c r="Q92" s="154" t="str">
        <f t="shared" si="7"/>
        <v>2-Actifs</v>
      </c>
      <c r="R92" s="153" t="str">
        <f t="shared" si="7"/>
        <v>1402</v>
      </c>
      <c r="S92" s="154">
        <f t="shared" si="7"/>
        <v>0</v>
      </c>
      <c r="T92" s="156" t="str">
        <f>+VLOOKUP($L92,Data_Validation!$A:$D,1,0)</f>
        <v>1402</v>
      </c>
      <c r="U92" s="156" t="str">
        <f>+VLOOKUP($L92,Data_Validation!$A:$D,3,0)</f>
        <v>Bilan</v>
      </c>
      <c r="V92" s="156" t="str">
        <f>+VLOOKUP($L92,Data_Validation!$A:$D,4,0)</f>
        <v>Inventaire Véhicules Neufs</v>
      </c>
      <c r="W92" s="156" t="str">
        <f>+VLOOKUP($L92,Data_Validation!$A:$E,5,0)</f>
        <v>$</v>
      </c>
      <c r="X92" s="156">
        <f>+VLOOKUP($L92,Data_Validation!$A:$F,6,0)</f>
        <v>0</v>
      </c>
    </row>
    <row r="93" spans="1:24" ht="15" hidden="1" customHeight="1">
      <c r="A93" s="1012" t="s">
        <v>2477</v>
      </c>
      <c r="B93" s="1012" t="s">
        <v>2478</v>
      </c>
      <c r="C93" s="1014"/>
      <c r="D93" s="1014"/>
      <c r="E93" s="1014"/>
      <c r="F93" s="1012" t="s">
        <v>4</v>
      </c>
      <c r="G93" s="1012" t="s">
        <v>2110</v>
      </c>
      <c r="H93" s="971"/>
      <c r="I93" s="972">
        <v>322</v>
      </c>
      <c r="J93" s="972">
        <v>62</v>
      </c>
      <c r="K93" s="972">
        <v>384</v>
      </c>
      <c r="L93" s="153" t="str">
        <f t="shared" si="0"/>
        <v>1402@</v>
      </c>
      <c r="M93" s="154" t="str">
        <f t="shared" si="1"/>
        <v># DE INVENTAIRE VEH.NEUFS VW</v>
      </c>
      <c r="N93" s="155">
        <f>+IF(OR($Q93=Parametres!$G$2,$Q93=Parametres!$G$3),I93,C93)</f>
        <v>322</v>
      </c>
      <c r="O93" s="575">
        <f>+IF(OR($Q93=Parametres!$G$2,$Q93=Parametres!$G$3),J93,D93)</f>
        <v>62</v>
      </c>
      <c r="P93" s="155">
        <f>+IF(OR($Q93=Parametres!$G$2,$Q93=Parametres!$G$3),K93,E93)</f>
        <v>384</v>
      </c>
      <c r="Q93" s="154" t="str">
        <f t="shared" si="7"/>
        <v>10-Compte compteur</v>
      </c>
      <c r="R93" s="153" t="str">
        <f t="shared" si="7"/>
        <v>1402</v>
      </c>
      <c r="S93" s="154">
        <f t="shared" si="7"/>
        <v>0</v>
      </c>
      <c r="T93" s="156" t="str">
        <f>+VLOOKUP($L93,Data_Validation!$A:$D,1,0)</f>
        <v>1402@</v>
      </c>
      <c r="U93" s="156" t="str">
        <f>+VLOOKUP($L93,Data_Validation!$A:$D,3,0)</f>
        <v>Bilan</v>
      </c>
      <c r="V93" s="156">
        <f>+VLOOKUP($L93,Data_Validation!$A:$D,4,0)</f>
        <v>0</v>
      </c>
      <c r="W93" s="156" t="str">
        <f>+VLOOKUP($L93,Data_Validation!$A:$E,5,0)</f>
        <v>NB</v>
      </c>
      <c r="X93" s="156">
        <f>+VLOOKUP($L93,Data_Validation!$A:$F,6,0)</f>
        <v>0</v>
      </c>
    </row>
    <row r="94" spans="1:24" ht="15.75" hidden="1" customHeight="1">
      <c r="A94" s="1012" t="s">
        <v>2118</v>
      </c>
      <c r="B94" s="1012" t="s">
        <v>2119</v>
      </c>
      <c r="C94" s="1014">
        <v>-6551.34</v>
      </c>
      <c r="D94" s="1014">
        <v>-26.28</v>
      </c>
      <c r="E94" s="1014">
        <v>-6577.62</v>
      </c>
      <c r="F94" s="1012" t="s">
        <v>293</v>
      </c>
      <c r="G94" s="1012" t="s">
        <v>2110</v>
      </c>
      <c r="H94" s="971"/>
      <c r="I94" s="972"/>
      <c r="J94" s="972"/>
      <c r="K94" s="972"/>
      <c r="L94" s="153" t="str">
        <f t="shared" si="0"/>
        <v>1403</v>
      </c>
      <c r="M94" s="154" t="str">
        <f t="shared" si="1"/>
        <v>BRUISING VOLKS VEH. NEUFS</v>
      </c>
      <c r="N94" s="155">
        <f>+IF(OR($Q94=Parametres!$G$2,$Q94=Parametres!$G$3),I94,C94)</f>
        <v>-6551.34</v>
      </c>
      <c r="O94" s="155">
        <f>+IF(OR($Q94=Parametres!$G$2,$Q94=Parametres!$G$3),J94,D94)</f>
        <v>-26.28</v>
      </c>
      <c r="P94" s="155">
        <f>+IF(OR($Q94=Parametres!$G$2,$Q94=Parametres!$G$3),K94,E94)</f>
        <v>-6577.62</v>
      </c>
      <c r="Q94" s="154" t="str">
        <f t="shared" si="7"/>
        <v>2-Actifs</v>
      </c>
      <c r="R94" s="153" t="str">
        <f t="shared" si="7"/>
        <v>1402</v>
      </c>
      <c r="S94" s="154">
        <f t="shared" si="7"/>
        <v>0</v>
      </c>
      <c r="T94" s="156" t="str">
        <f>+VLOOKUP($L94,Data_Validation!$A:$D,1,0)</f>
        <v>1403</v>
      </c>
      <c r="U94" s="156" t="str">
        <f>+VLOOKUP($L94,Data_Validation!$A:$D,3,0)</f>
        <v>Bilan</v>
      </c>
      <c r="V94" s="156" t="str">
        <f>+VLOOKUP($L94,Data_Validation!$A:$D,4,0)</f>
        <v>Inventaire Véhicules Neufs</v>
      </c>
      <c r="W94" s="156" t="str">
        <f>+VLOOKUP($L94,Data_Validation!$A:$E,5,0)</f>
        <v>$</v>
      </c>
      <c r="X94" s="156">
        <f>+VLOOKUP($L94,Data_Validation!$A:$F,6,0)</f>
        <v>0</v>
      </c>
    </row>
    <row r="95" spans="1:24" ht="15" hidden="1" customHeight="1">
      <c r="A95" s="1012" t="s">
        <v>2761</v>
      </c>
      <c r="B95" s="1012" t="s">
        <v>2762</v>
      </c>
      <c r="C95" s="1014">
        <v>-40301.129999999997</v>
      </c>
      <c r="D95" s="1014">
        <v>13605.93</v>
      </c>
      <c r="E95" s="1014">
        <v>-26695.200000000001</v>
      </c>
      <c r="F95" s="1012" t="s">
        <v>293</v>
      </c>
      <c r="G95" s="1012" t="s">
        <v>2762</v>
      </c>
      <c r="H95" s="971"/>
      <c r="I95" s="972"/>
      <c r="J95" s="972"/>
      <c r="K95" s="972"/>
      <c r="L95" s="153" t="str">
        <f t="shared" si="0"/>
        <v>1413</v>
      </c>
      <c r="M95" s="154" t="str">
        <f t="shared" si="1"/>
        <v>BRUISING USED CAR</v>
      </c>
      <c r="N95" s="155">
        <f>+IF(OR($Q95=Parametres!$G$2,$Q95=Parametres!$G$3),I95,C95)</f>
        <v>-40301.129999999997</v>
      </c>
      <c r="O95" s="155">
        <f>+IF(OR($Q95=Parametres!$G$2,$Q95=Parametres!$G$3),J95,D95)</f>
        <v>13605.93</v>
      </c>
      <c r="P95" s="155">
        <f>+IF(OR($Q95=Parametres!$G$2,$Q95=Parametres!$G$3),K95,E95)</f>
        <v>-26695.200000000001</v>
      </c>
      <c r="Q95" s="154" t="str">
        <f t="shared" si="7"/>
        <v>2-Actifs</v>
      </c>
      <c r="R95" s="153" t="str">
        <f t="shared" si="7"/>
        <v>1413</v>
      </c>
      <c r="S95" s="154">
        <f t="shared" si="7"/>
        <v>0</v>
      </c>
      <c r="T95" s="156" t="str">
        <f>+VLOOKUP($L95,Data_Validation!$A:$D,1,0)</f>
        <v>1413</v>
      </c>
      <c r="U95" s="156" t="str">
        <f>+VLOOKUP($L95,Data_Validation!$A:$D,3,0)</f>
        <v>Bilan</v>
      </c>
      <c r="V95" s="156" t="str">
        <f>+VLOOKUP($L95,Data_Validation!$A:$D,4,0)</f>
        <v>Inventaire Véhicules Usagés</v>
      </c>
      <c r="W95" s="156" t="str">
        <f>+VLOOKUP($L95,Data_Validation!$A:$E,5,0)</f>
        <v>$</v>
      </c>
      <c r="X95" s="156">
        <f>+VLOOKUP($L95,Data_Validation!$A:$F,6,0)</f>
        <v>0</v>
      </c>
    </row>
    <row r="96" spans="1:24" ht="15" hidden="1" customHeight="1">
      <c r="A96" s="1012" t="s">
        <v>2826</v>
      </c>
      <c r="B96" s="1012" t="s">
        <v>2481</v>
      </c>
      <c r="C96" s="1014">
        <v>1440732.84</v>
      </c>
      <c r="D96" s="1014">
        <v>-365354.87</v>
      </c>
      <c r="E96" s="1014">
        <v>1075377.97</v>
      </c>
      <c r="F96" s="1012" t="s">
        <v>293</v>
      </c>
      <c r="G96" s="1012" t="s">
        <v>2481</v>
      </c>
      <c r="H96" s="971"/>
      <c r="I96" s="972"/>
      <c r="J96" s="972"/>
      <c r="K96" s="972"/>
      <c r="L96" s="153" t="str">
        <f t="shared" si="0"/>
        <v>1416</v>
      </c>
      <c r="M96" s="154" t="str">
        <f t="shared" si="1"/>
        <v>INV. VEH. USAGE VW</v>
      </c>
      <c r="N96" s="155">
        <f>+IF(OR($Q96=Parametres!$G$2,$Q96=Parametres!$G$3),I96,C96)</f>
        <v>1440732.84</v>
      </c>
      <c r="O96" s="155">
        <f>+IF(OR($Q96=Parametres!$G$2,$Q96=Parametres!$G$3),J96,D96)</f>
        <v>-365354.87</v>
      </c>
      <c r="P96" s="155">
        <f>+IF(OR($Q96=Parametres!$G$2,$Q96=Parametres!$G$3),K96,E96)</f>
        <v>1075377.97</v>
      </c>
      <c r="Q96" s="154" t="str">
        <f t="shared" si="7"/>
        <v>2-Actifs</v>
      </c>
      <c r="R96" s="153" t="str">
        <f t="shared" si="7"/>
        <v>1416</v>
      </c>
      <c r="S96" s="154">
        <f t="shared" si="7"/>
        <v>0</v>
      </c>
      <c r="T96" s="156" t="str">
        <f>+VLOOKUP($L96,Data_Validation!$A:$D,1,0)</f>
        <v>1416</v>
      </c>
      <c r="U96" s="156" t="str">
        <f>+VLOOKUP($L96,Data_Validation!$A:$D,3,0)</f>
        <v>Bilan</v>
      </c>
      <c r="V96" s="156" t="str">
        <f>+VLOOKUP($L96,Data_Validation!$A:$D,4,0)</f>
        <v>Inventaire Véhicules Usagés</v>
      </c>
      <c r="W96" s="156" t="str">
        <f>+VLOOKUP($L96,Data_Validation!$A:$E,5,0)</f>
        <v>$</v>
      </c>
      <c r="X96" s="156">
        <f>+VLOOKUP($L96,Data_Validation!$A:$F,6,0)</f>
        <v>0</v>
      </c>
    </row>
    <row r="97" spans="1:24" ht="15" hidden="1" customHeight="1">
      <c r="A97" s="1012" t="s">
        <v>2479</v>
      </c>
      <c r="B97" s="1012" t="s">
        <v>2480</v>
      </c>
      <c r="C97" s="1014"/>
      <c r="D97" s="1014"/>
      <c r="E97" s="1014"/>
      <c r="F97" s="1012" t="s">
        <v>4</v>
      </c>
      <c r="G97" s="1012" t="s">
        <v>2481</v>
      </c>
      <c r="H97" s="948"/>
      <c r="I97" s="948">
        <v>92</v>
      </c>
      <c r="J97" s="948">
        <v>-16</v>
      </c>
      <c r="K97" s="948">
        <v>76</v>
      </c>
      <c r="L97" s="153" t="str">
        <f t="shared" si="0"/>
        <v>1416@</v>
      </c>
      <c r="M97" s="154" t="str">
        <f t="shared" si="1"/>
        <v># DE INV. VEH. USAGE VW</v>
      </c>
      <c r="N97" s="155">
        <f>+IF(OR($Q97=Parametres!$G$2,$Q97=Parametres!$G$3),I97,C97)</f>
        <v>92</v>
      </c>
      <c r="O97" s="155">
        <f>+IF(OR($Q97=Parametres!$G$2,$Q97=Parametres!$G$3),J97,D97)</f>
        <v>-16</v>
      </c>
      <c r="P97" s="155">
        <f>+IF(OR($Q97=Parametres!$G$2,$Q97=Parametres!$G$3),K97,E97)</f>
        <v>76</v>
      </c>
      <c r="Q97" s="154" t="str">
        <f t="shared" si="7"/>
        <v>10-Compte compteur</v>
      </c>
      <c r="R97" s="153" t="str">
        <f t="shared" si="7"/>
        <v>1416</v>
      </c>
      <c r="S97" s="154">
        <f t="shared" si="7"/>
        <v>0</v>
      </c>
      <c r="T97" s="156" t="str">
        <f>+VLOOKUP($L97,Data_Validation!$A:$D,1,0)</f>
        <v>1416@</v>
      </c>
      <c r="U97" s="156" t="str">
        <f>+VLOOKUP($L97,Data_Validation!$A:$D,3,0)</f>
        <v>Bilan</v>
      </c>
      <c r="V97" s="156">
        <f>+VLOOKUP($L97,Data_Validation!$A:$D,4,0)</f>
        <v>0</v>
      </c>
      <c r="W97" s="156" t="str">
        <f>+VLOOKUP($L97,Data_Validation!$A:$E,5,0)</f>
        <v>NB</v>
      </c>
      <c r="X97" s="156">
        <f>+VLOOKUP($L97,Data_Validation!$A:$F,6,0)</f>
        <v>0</v>
      </c>
    </row>
    <row r="98" spans="1:24" ht="15" hidden="1" customHeight="1">
      <c r="A98" s="1012" t="s">
        <v>2032</v>
      </c>
      <c r="B98" s="1012" t="s">
        <v>2033</v>
      </c>
      <c r="C98" s="1014">
        <v>186984.04</v>
      </c>
      <c r="D98" s="1014">
        <v>-15979.91</v>
      </c>
      <c r="E98" s="1014">
        <v>171004.13</v>
      </c>
      <c r="F98" s="1012" t="s">
        <v>293</v>
      </c>
      <c r="G98" s="1012" t="s">
        <v>2033</v>
      </c>
      <c r="H98" s="948"/>
      <c r="I98" s="948"/>
      <c r="J98" s="948"/>
      <c r="K98" s="948"/>
      <c r="L98" s="153" t="str">
        <f t="shared" si="0"/>
        <v>1442</v>
      </c>
      <c r="M98" s="154" t="str">
        <f t="shared" si="1"/>
        <v>PIECES &amp; ACCESSOIRES NEUFS</v>
      </c>
      <c r="N98" s="155">
        <f>+IF(OR($Q98=Parametres!$G$2,$Q98=Parametres!$G$3),I98,C98)</f>
        <v>186984.04</v>
      </c>
      <c r="O98" s="155">
        <f>+IF(OR($Q98=Parametres!$G$2,$Q98=Parametres!$G$3),J98,D98)</f>
        <v>-15979.91</v>
      </c>
      <c r="P98" s="155">
        <f>+IF(OR($Q98=Parametres!$G$2,$Q98=Parametres!$G$3),K98,E98)</f>
        <v>171004.13</v>
      </c>
      <c r="Q98" s="154" t="str">
        <f t="shared" ref="Q98:S113" si="8">+F98</f>
        <v>2-Actifs</v>
      </c>
      <c r="R98" s="153" t="str">
        <f t="shared" si="8"/>
        <v>1442</v>
      </c>
      <c r="S98" s="154">
        <f t="shared" si="8"/>
        <v>0</v>
      </c>
      <c r="T98" s="156" t="str">
        <f>+VLOOKUP($L98,Data_Validation!$A:$D,1,0)</f>
        <v>1442</v>
      </c>
      <c r="U98" s="156" t="str">
        <f>+VLOOKUP($L98,Data_Validation!$A:$D,3,0)</f>
        <v>Bilan</v>
      </c>
      <c r="V98" s="156" t="str">
        <f>+VLOOKUP($L98,Data_Validation!$A:$D,4,0)</f>
        <v>Inventaire Pièces, Pneus, Huile</v>
      </c>
      <c r="W98" s="156" t="str">
        <f>+VLOOKUP($L98,Data_Validation!$A:$E,5,0)</f>
        <v>$</v>
      </c>
      <c r="X98" s="156">
        <f>+VLOOKUP($L98,Data_Validation!$A:$F,6,0)</f>
        <v>0</v>
      </c>
    </row>
    <row r="99" spans="1:24" ht="15.75" hidden="1" customHeight="1">
      <c r="A99" s="1012" t="s">
        <v>2824</v>
      </c>
      <c r="B99" s="1012" t="s">
        <v>2825</v>
      </c>
      <c r="C99" s="1014">
        <v>76818.73</v>
      </c>
      <c r="D99" s="1014">
        <v>-3657.2</v>
      </c>
      <c r="E99" s="1014">
        <v>73161.53</v>
      </c>
      <c r="F99" s="1012" t="s">
        <v>293</v>
      </c>
      <c r="G99" s="1012" t="s">
        <v>2033</v>
      </c>
      <c r="H99" s="948"/>
      <c r="I99" s="948"/>
      <c r="J99" s="948"/>
      <c r="K99" s="948"/>
      <c r="L99" s="153" t="str">
        <f t="shared" si="0"/>
        <v>1452</v>
      </c>
      <c r="M99" s="154" t="str">
        <f t="shared" si="1"/>
        <v>PNEUS</v>
      </c>
      <c r="N99" s="155">
        <f>+IF(OR($Q99=Parametres!$G$2,$Q99=Parametres!$G$3),I99,C99)</f>
        <v>76818.73</v>
      </c>
      <c r="O99" s="155">
        <f>+IF(OR($Q99=Parametres!$G$2,$Q99=Parametres!$G$3),J99,D99)</f>
        <v>-3657.2</v>
      </c>
      <c r="P99" s="155">
        <f>+IF(OR($Q99=Parametres!$G$2,$Q99=Parametres!$G$3),K99,E99)</f>
        <v>73161.53</v>
      </c>
      <c r="Q99" s="154" t="str">
        <f t="shared" si="8"/>
        <v>2-Actifs</v>
      </c>
      <c r="R99" s="153" t="str">
        <f t="shared" si="8"/>
        <v>1442</v>
      </c>
      <c r="S99" s="154">
        <f t="shared" si="8"/>
        <v>0</v>
      </c>
      <c r="T99" s="156" t="str">
        <f>+VLOOKUP($L99,Data_Validation!$A:$D,1,0)</f>
        <v>1452</v>
      </c>
      <c r="U99" s="156" t="str">
        <f>+VLOOKUP($L99,Data_Validation!$A:$D,3,0)</f>
        <v>Bilan</v>
      </c>
      <c r="V99" s="156" t="str">
        <f>+VLOOKUP($L99,Data_Validation!$A:$D,4,0)</f>
        <v>Inventaire Pièces, Pneus, Huile</v>
      </c>
      <c r="W99" s="156" t="str">
        <f>+VLOOKUP($L99,Data_Validation!$A:$E,5,0)</f>
        <v>$</v>
      </c>
      <c r="X99" s="156">
        <f>+VLOOKUP($L99,Data_Validation!$A:$F,6,0)</f>
        <v>0</v>
      </c>
    </row>
    <row r="100" spans="1:24" ht="15" hidden="1" customHeight="1">
      <c r="A100" s="1012" t="s">
        <v>2740</v>
      </c>
      <c r="B100" s="1012" t="s">
        <v>2741</v>
      </c>
      <c r="C100" s="1014">
        <v>19009.810000000001</v>
      </c>
      <c r="D100" s="1014">
        <v>9531.02</v>
      </c>
      <c r="E100" s="1014">
        <v>28540.83</v>
      </c>
      <c r="F100" s="1012" t="s">
        <v>293</v>
      </c>
      <c r="G100" s="1012" t="s">
        <v>2741</v>
      </c>
      <c r="H100" s="948"/>
      <c r="I100" s="948"/>
      <c r="J100" s="948"/>
      <c r="K100" s="948"/>
      <c r="L100" s="153" t="str">
        <f t="shared" si="0"/>
        <v>1456</v>
      </c>
      <c r="M100" s="154" t="str">
        <f t="shared" si="1"/>
        <v>PIECES VW NON ORIGINE</v>
      </c>
      <c r="N100" s="155">
        <f>+IF(OR($Q100=Parametres!$G$2,$Q100=Parametres!$G$3),I100,C100)</f>
        <v>19009.810000000001</v>
      </c>
      <c r="O100" s="155">
        <f>+IF(OR($Q100=Parametres!$G$2,$Q100=Parametres!$G$3),J100,D100)</f>
        <v>9531.02</v>
      </c>
      <c r="P100" s="155">
        <f>+IF(OR($Q100=Parametres!$G$2,$Q100=Parametres!$G$3),K100,E100)</f>
        <v>28540.83</v>
      </c>
      <c r="Q100" s="154" t="str">
        <f t="shared" si="8"/>
        <v>2-Actifs</v>
      </c>
      <c r="R100" s="153" t="str">
        <f t="shared" si="8"/>
        <v>1456</v>
      </c>
      <c r="S100" s="154">
        <f t="shared" si="8"/>
        <v>0</v>
      </c>
      <c r="T100" s="156" t="str">
        <f>+VLOOKUP($L100,Data_Validation!$A:$D,1,0)</f>
        <v>1456</v>
      </c>
      <c r="U100" s="156" t="str">
        <f>+VLOOKUP($L100,Data_Validation!$A:$D,3,0)</f>
        <v>Bilan</v>
      </c>
      <c r="V100" s="156" t="str">
        <f>+VLOOKUP($L100,Data_Validation!$A:$D,4,0)</f>
        <v>Inventaire Pièces, Pneus, Huile</v>
      </c>
      <c r="W100" s="156" t="str">
        <f>+VLOOKUP($L100,Data_Validation!$A:$E,5,0)</f>
        <v>$</v>
      </c>
      <c r="X100" s="156">
        <f>+VLOOKUP($L100,Data_Validation!$A:$F,6,0)</f>
        <v>0</v>
      </c>
    </row>
    <row r="101" spans="1:24" ht="15" hidden="1" customHeight="1">
      <c r="A101" s="1012" t="s">
        <v>2589</v>
      </c>
      <c r="B101" s="1012" t="s">
        <v>2590</v>
      </c>
      <c r="C101" s="1014">
        <v>6818.48</v>
      </c>
      <c r="D101" s="1014">
        <v>4209.32</v>
      </c>
      <c r="E101" s="1014">
        <v>11027.8</v>
      </c>
      <c r="F101" s="1012" t="s">
        <v>293</v>
      </c>
      <c r="G101" s="1012" t="s">
        <v>2590</v>
      </c>
      <c r="H101" s="948"/>
      <c r="I101" s="948"/>
      <c r="J101" s="948"/>
      <c r="K101" s="948"/>
      <c r="L101" s="153" t="str">
        <f t="shared" si="0"/>
        <v>1472</v>
      </c>
      <c r="M101" s="154" t="str">
        <f t="shared" si="1"/>
        <v>WIP M-O VW</v>
      </c>
      <c r="N101" s="155">
        <f>+IF(OR($Q101=Parametres!$G$2,$Q101=Parametres!$G$3),I101,C101)</f>
        <v>6818.48</v>
      </c>
      <c r="O101" s="155">
        <f>+IF(OR($Q101=Parametres!$G$2,$Q101=Parametres!$G$3),J101,D101)</f>
        <v>4209.32</v>
      </c>
      <c r="P101" s="155">
        <f>+IF(OR($Q101=Parametres!$G$2,$Q101=Parametres!$G$3),K101,E101)</f>
        <v>11027.8</v>
      </c>
      <c r="Q101" s="154" t="str">
        <f t="shared" si="8"/>
        <v>2-Actifs</v>
      </c>
      <c r="R101" s="153" t="str">
        <f t="shared" si="8"/>
        <v>1472</v>
      </c>
      <c r="S101" s="154">
        <f t="shared" si="8"/>
        <v>0</v>
      </c>
      <c r="T101" s="156" t="str">
        <f>+VLOOKUP($L101,Data_Validation!$A:$D,1,0)</f>
        <v>1472</v>
      </c>
      <c r="U101" s="156" t="str">
        <f>+VLOOKUP($L101,Data_Validation!$A:$D,3,0)</f>
        <v>Bilan</v>
      </c>
      <c r="V101" s="156" t="str">
        <f>+VLOOKUP($L101,Data_Validation!$A:$D,4,0)</f>
        <v>Travaux en Cours</v>
      </c>
      <c r="W101" s="156" t="str">
        <f>+VLOOKUP($L101,Data_Validation!$A:$E,5,0)</f>
        <v>$</v>
      </c>
      <c r="X101" s="156">
        <f>+VLOOKUP($L101,Data_Validation!$A:$F,6,0)</f>
        <v>0</v>
      </c>
    </row>
    <row r="102" spans="1:24" ht="15" hidden="1" customHeight="1">
      <c r="A102" s="1012" t="s">
        <v>2763</v>
      </c>
      <c r="B102" s="1012" t="s">
        <v>2764</v>
      </c>
      <c r="C102" s="1014">
        <v>-2628.01</v>
      </c>
      <c r="D102" s="1014">
        <v>6684.93</v>
      </c>
      <c r="E102" s="1014">
        <v>4056.92</v>
      </c>
      <c r="F102" s="1012" t="s">
        <v>293</v>
      </c>
      <c r="G102" s="1012" t="s">
        <v>2590</v>
      </c>
      <c r="H102" s="948"/>
      <c r="I102" s="948"/>
      <c r="J102" s="948"/>
      <c r="K102" s="948"/>
      <c r="L102" s="153" t="str">
        <f t="shared" si="0"/>
        <v>1474</v>
      </c>
      <c r="M102" s="154" t="str">
        <f t="shared" si="1"/>
        <v>INVENTAIRE SOUS-TRAITANTS</v>
      </c>
      <c r="N102" s="155">
        <f>+IF(OR($Q102=Parametres!$G$2,$Q102=Parametres!$G$3),I102,C102)</f>
        <v>-2628.01</v>
      </c>
      <c r="O102" s="575">
        <f>+IF(OR($Q102=Parametres!$G$2,$Q102=Parametres!$G$3),J102,D102)</f>
        <v>6684.93</v>
      </c>
      <c r="P102" s="155">
        <f>+IF(OR($Q102=Parametres!$G$2,$Q102=Parametres!$G$3),K102,E102)</f>
        <v>4056.92</v>
      </c>
      <c r="Q102" s="154" t="str">
        <f t="shared" si="8"/>
        <v>2-Actifs</v>
      </c>
      <c r="R102" s="153" t="str">
        <f t="shared" si="8"/>
        <v>1472</v>
      </c>
      <c r="S102" s="154">
        <f t="shared" si="8"/>
        <v>0</v>
      </c>
      <c r="T102" s="156" t="str">
        <f>+VLOOKUP($L102,Data_Validation!$A:$D,1,0)</f>
        <v>1474</v>
      </c>
      <c r="U102" s="156" t="str">
        <f>+VLOOKUP($L102,Data_Validation!$A:$D,3,0)</f>
        <v>Bilan</v>
      </c>
      <c r="V102" s="156" t="str">
        <f>+VLOOKUP($L102,Data_Validation!$A:$D,4,0)</f>
        <v>Sous-Traitance</v>
      </c>
      <c r="W102" s="156" t="str">
        <f>+VLOOKUP($L102,Data_Validation!$A:$E,5,0)</f>
        <v>$</v>
      </c>
      <c r="X102" s="156">
        <f>+VLOOKUP($L102,Data_Validation!$A:$F,6,0)</f>
        <v>0</v>
      </c>
    </row>
    <row r="103" spans="1:24" ht="15.75" hidden="1" customHeight="1">
      <c r="A103" s="1012" t="s">
        <v>2140</v>
      </c>
      <c r="B103" s="1012" t="s">
        <v>2141</v>
      </c>
      <c r="C103" s="1014">
        <v>24003.13</v>
      </c>
      <c r="D103" s="1014">
        <v>297.83</v>
      </c>
      <c r="E103" s="1014">
        <v>24300.959999999999</v>
      </c>
      <c r="F103" s="1012" t="s">
        <v>293</v>
      </c>
      <c r="G103" s="1012" t="s">
        <v>2033</v>
      </c>
      <c r="H103" s="948"/>
      <c r="I103" s="947"/>
      <c r="J103" s="947"/>
      <c r="K103" s="947"/>
      <c r="L103" s="153" t="str">
        <f t="shared" si="0"/>
        <v>1492</v>
      </c>
      <c r="M103" s="154" t="str">
        <f t="shared" si="1"/>
        <v>CARBURANT, HUILE, GRAISSE</v>
      </c>
      <c r="N103" s="155">
        <f>+IF(OR($Q103=Parametres!$G$2,$Q103=Parametres!$G$3),I103,C103)</f>
        <v>24003.13</v>
      </c>
      <c r="O103" s="155">
        <f>+IF(OR($Q103=Parametres!$G$2,$Q103=Parametres!$G$3),J103,D103)</f>
        <v>297.83</v>
      </c>
      <c r="P103" s="155">
        <f>+IF(OR($Q103=Parametres!$G$2,$Q103=Parametres!$G$3),K103,E103)</f>
        <v>24300.959999999999</v>
      </c>
      <c r="Q103" s="154" t="str">
        <f t="shared" si="8"/>
        <v>2-Actifs</v>
      </c>
      <c r="R103" s="153" t="str">
        <f t="shared" si="8"/>
        <v>1442</v>
      </c>
      <c r="S103" s="154">
        <f t="shared" si="8"/>
        <v>0</v>
      </c>
      <c r="T103" s="156" t="str">
        <f>+VLOOKUP($L103,Data_Validation!$A:$D,1,0)</f>
        <v>1492</v>
      </c>
      <c r="U103" s="156" t="str">
        <f>+VLOOKUP($L103,Data_Validation!$A:$D,3,0)</f>
        <v>Bilan</v>
      </c>
      <c r="V103" s="156" t="str">
        <f>+VLOOKUP($L103,Data_Validation!$A:$D,4,0)</f>
        <v>Inventaire Pièces, Pneus, Huile</v>
      </c>
      <c r="W103" s="156" t="str">
        <f>+VLOOKUP($L103,Data_Validation!$A:$E,5,0)</f>
        <v>$</v>
      </c>
      <c r="X103" s="156">
        <f>+VLOOKUP($L103,Data_Validation!$A:$F,6,0)</f>
        <v>0</v>
      </c>
    </row>
    <row r="104" spans="1:24" ht="15" hidden="1" customHeight="1">
      <c r="A104" s="1012" t="s">
        <v>2691</v>
      </c>
      <c r="B104" s="1012" t="s">
        <v>2692</v>
      </c>
      <c r="C104" s="1014">
        <v>58325.03</v>
      </c>
      <c r="D104" s="1014">
        <v>4702.8500000000004</v>
      </c>
      <c r="E104" s="1014">
        <v>63027.88</v>
      </c>
      <c r="F104" s="1012" t="s">
        <v>293</v>
      </c>
      <c r="G104" s="1012" t="s">
        <v>2692</v>
      </c>
      <c r="H104" s="948"/>
      <c r="I104" s="947"/>
      <c r="J104" s="947"/>
      <c r="K104" s="947"/>
      <c r="L104" s="153" t="str">
        <f t="shared" si="0"/>
        <v>1498</v>
      </c>
      <c r="M104" s="154" t="str">
        <f t="shared" si="1"/>
        <v>AUTRES INVENTAIRES</v>
      </c>
      <c r="N104" s="155">
        <f>+IF(OR($Q104=Parametres!$G$2,$Q104=Parametres!$G$3),I104,C104)</f>
        <v>58325.03</v>
      </c>
      <c r="O104" s="155">
        <f>+IF(OR($Q104=Parametres!$G$2,$Q104=Parametres!$G$3),J104,D104)</f>
        <v>4702.8500000000004</v>
      </c>
      <c r="P104" s="155">
        <f>+IF(OR($Q104=Parametres!$G$2,$Q104=Parametres!$G$3),K104,E104)</f>
        <v>63027.88</v>
      </c>
      <c r="Q104" s="154" t="str">
        <f t="shared" si="8"/>
        <v>2-Actifs</v>
      </c>
      <c r="R104" s="153" t="str">
        <f t="shared" si="8"/>
        <v>1498</v>
      </c>
      <c r="S104" s="154">
        <f t="shared" si="8"/>
        <v>0</v>
      </c>
      <c r="T104" s="156" t="str">
        <f>+VLOOKUP($L104,Data_Validation!$A:$D,1,0)</f>
        <v>1498</v>
      </c>
      <c r="U104" s="156" t="str">
        <f>+VLOOKUP($L104,Data_Validation!$A:$D,3,0)</f>
        <v>Bilan</v>
      </c>
      <c r="V104" s="156" t="str">
        <f>+VLOOKUP($L104,Data_Validation!$A:$D,4,0)</f>
        <v>Inventaire Pièces, Pneus, Huile</v>
      </c>
      <c r="W104" s="156" t="str">
        <f>+VLOOKUP($L104,Data_Validation!$A:$E,5,0)</f>
        <v>$</v>
      </c>
      <c r="X104" s="156">
        <f>+VLOOKUP($L104,Data_Validation!$A:$F,6,0)</f>
        <v>0</v>
      </c>
    </row>
    <row r="105" spans="1:24" ht="15" hidden="1" customHeight="1">
      <c r="A105" s="1012" t="s">
        <v>2104</v>
      </c>
      <c r="B105" s="1012" t="s">
        <v>2105</v>
      </c>
      <c r="C105" s="1014">
        <v>16229.02</v>
      </c>
      <c r="D105" s="1014">
        <v>-32946.47</v>
      </c>
      <c r="E105" s="1014">
        <v>-16717.45</v>
      </c>
      <c r="F105" s="1012" t="s">
        <v>293</v>
      </c>
      <c r="G105" s="1012" t="s">
        <v>2106</v>
      </c>
      <c r="H105" s="948"/>
      <c r="I105" s="947"/>
      <c r="J105" s="947"/>
      <c r="K105" s="947"/>
      <c r="L105" s="153" t="str">
        <f t="shared" si="0"/>
        <v>1502</v>
      </c>
      <c r="M105" s="154" t="str">
        <f t="shared" si="1"/>
        <v>FPA PUB.VEHICULES NEUFS</v>
      </c>
      <c r="N105" s="155">
        <f>+IF(OR($Q105=Parametres!$G$2,$Q105=Parametres!$G$3),I105,C105)</f>
        <v>16229.02</v>
      </c>
      <c r="O105" s="155">
        <f>+IF(OR($Q105=Parametres!$G$2,$Q105=Parametres!$G$3),J105,D105)</f>
        <v>-32946.47</v>
      </c>
      <c r="P105" s="155">
        <f>+IF(OR($Q105=Parametres!$G$2,$Q105=Parametres!$G$3),K105,E105)</f>
        <v>-16717.45</v>
      </c>
      <c r="Q105" s="154" t="str">
        <f t="shared" si="8"/>
        <v>2-Actifs</v>
      </c>
      <c r="R105" s="153" t="str">
        <f t="shared" si="8"/>
        <v>1500</v>
      </c>
      <c r="S105" s="154">
        <f t="shared" si="8"/>
        <v>0</v>
      </c>
      <c r="T105" s="156" t="str">
        <f>+VLOOKUP($L105,Data_Validation!$A:$D,1,0)</f>
        <v>1502</v>
      </c>
      <c r="U105" s="156" t="str">
        <f>+VLOOKUP($L105,Data_Validation!$A:$D,3,0)</f>
        <v>Bilan</v>
      </c>
      <c r="V105" s="156" t="str">
        <f>+VLOOKUP($L105,Data_Validation!$A:$D,4,0)</f>
        <v>Frais Payés d'Avance</v>
      </c>
      <c r="W105" s="156" t="str">
        <f>+VLOOKUP($L105,Data_Validation!$A:$E,5,0)</f>
        <v>$</v>
      </c>
      <c r="X105" s="156">
        <f>+VLOOKUP($L105,Data_Validation!$A:$F,6,0)</f>
        <v>0</v>
      </c>
    </row>
    <row r="106" spans="1:24" ht="15" hidden="1" customHeight="1">
      <c r="A106" s="1012" t="s">
        <v>2130</v>
      </c>
      <c r="B106" s="1012" t="s">
        <v>2131</v>
      </c>
      <c r="C106" s="1014">
        <v>-4608.8500000000004</v>
      </c>
      <c r="D106" s="1014">
        <v>2677.6</v>
      </c>
      <c r="E106" s="1014">
        <v>-1931.25</v>
      </c>
      <c r="F106" s="1012" t="s">
        <v>293</v>
      </c>
      <c r="G106" s="1012" t="s">
        <v>2106</v>
      </c>
      <c r="H106" s="948"/>
      <c r="I106" s="947"/>
      <c r="J106" s="947"/>
      <c r="K106" s="947"/>
      <c r="L106" s="153" t="str">
        <f t="shared" si="0"/>
        <v>1504</v>
      </c>
      <c r="M106" s="154" t="str">
        <f t="shared" si="1"/>
        <v>PUBLICITE VEH USAGES</v>
      </c>
      <c r="N106" s="155">
        <f>+IF(OR($Q106=Parametres!$G$2,$Q106=Parametres!$G$3),I106,C106)</f>
        <v>-4608.8500000000004</v>
      </c>
      <c r="O106" s="575">
        <f>+IF(OR($Q106=Parametres!$G$2,$Q106=Parametres!$G$3),J106,D106)</f>
        <v>2677.6</v>
      </c>
      <c r="P106" s="155">
        <f>+IF(OR($Q106=Parametres!$G$2,$Q106=Parametres!$G$3),K106,E106)</f>
        <v>-1931.25</v>
      </c>
      <c r="Q106" s="154" t="str">
        <f t="shared" si="8"/>
        <v>2-Actifs</v>
      </c>
      <c r="R106" s="153" t="str">
        <f t="shared" si="8"/>
        <v>1500</v>
      </c>
      <c r="S106" s="154">
        <f t="shared" si="8"/>
        <v>0</v>
      </c>
      <c r="T106" s="156" t="str">
        <f>+VLOOKUP($L106,Data_Validation!$A:$D,1,0)</f>
        <v>1504</v>
      </c>
      <c r="U106" s="156" t="str">
        <f>+VLOOKUP($L106,Data_Validation!$A:$D,3,0)</f>
        <v>Bilan</v>
      </c>
      <c r="V106" s="156" t="str">
        <f>+VLOOKUP($L106,Data_Validation!$A:$D,4,0)</f>
        <v>Frais Payés d'Avance</v>
      </c>
      <c r="W106" s="156" t="str">
        <f>+VLOOKUP($L106,Data_Validation!$A:$E,5,0)</f>
        <v>$</v>
      </c>
      <c r="X106" s="156">
        <f>+VLOOKUP($L106,Data_Validation!$A:$F,6,0)</f>
        <v>0</v>
      </c>
    </row>
    <row r="107" spans="1:24" ht="15" hidden="1" customHeight="1">
      <c r="A107" s="1012" t="s">
        <v>2806</v>
      </c>
      <c r="B107" s="1012" t="s">
        <v>2807</v>
      </c>
      <c r="C107" s="1014">
        <v>1322.98</v>
      </c>
      <c r="D107" s="1014">
        <v>-8649.74</v>
      </c>
      <c r="E107" s="1014">
        <v>-7326.76</v>
      </c>
      <c r="F107" s="1012" t="s">
        <v>293</v>
      </c>
      <c r="G107" s="1012" t="s">
        <v>2106</v>
      </c>
      <c r="H107" s="948"/>
      <c r="I107" s="947"/>
      <c r="J107" s="947"/>
      <c r="K107" s="947"/>
      <c r="L107" s="153" t="str">
        <f t="shared" si="0"/>
        <v>1506</v>
      </c>
      <c r="M107" s="154" t="str">
        <f t="shared" si="1"/>
        <v>FPA PUBLICITE SERVICE</v>
      </c>
      <c r="N107" s="155">
        <f>+IF(OR($Q107=Parametres!$G$2,$Q107=Parametres!$G$3),I107,C107)</f>
        <v>1322.98</v>
      </c>
      <c r="O107" s="155">
        <f>+IF(OR($Q107=Parametres!$G$2,$Q107=Parametres!$G$3),J107,D107)</f>
        <v>-8649.74</v>
      </c>
      <c r="P107" s="155">
        <f>+IF(OR($Q107=Parametres!$G$2,$Q107=Parametres!$G$3),K107,E107)</f>
        <v>-7326.76</v>
      </c>
      <c r="Q107" s="154" t="str">
        <f t="shared" si="8"/>
        <v>2-Actifs</v>
      </c>
      <c r="R107" s="153" t="str">
        <f t="shared" si="8"/>
        <v>1500</v>
      </c>
      <c r="S107" s="154">
        <f t="shared" si="8"/>
        <v>0</v>
      </c>
      <c r="T107" s="156" t="str">
        <f>+VLOOKUP($L107,Data_Validation!$A:$D,1,0)</f>
        <v>1506</v>
      </c>
      <c r="U107" s="156" t="str">
        <f>+VLOOKUP($L107,Data_Validation!$A:$D,3,0)</f>
        <v>Bilan</v>
      </c>
      <c r="V107" s="156" t="str">
        <f>+VLOOKUP($L107,Data_Validation!$A:$D,4,0)</f>
        <v>Frais Payés d'Avance</v>
      </c>
      <c r="W107" s="156" t="str">
        <f>+VLOOKUP($L107,Data_Validation!$A:$E,5,0)</f>
        <v>$</v>
      </c>
      <c r="X107" s="156">
        <f>+VLOOKUP($L107,Data_Validation!$A:$F,6,0)</f>
        <v>0</v>
      </c>
    </row>
    <row r="108" spans="1:24" ht="15" hidden="1" customHeight="1">
      <c r="A108" s="1012" t="s">
        <v>2394</v>
      </c>
      <c r="B108" s="1012" t="s">
        <v>2395</v>
      </c>
      <c r="C108" s="1014">
        <v>409.18</v>
      </c>
      <c r="D108" s="1014">
        <v>0</v>
      </c>
      <c r="E108" s="1014">
        <v>409.18</v>
      </c>
      <c r="F108" s="1012" t="s">
        <v>293</v>
      </c>
      <c r="G108" s="1012" t="s">
        <v>2106</v>
      </c>
      <c r="H108" s="948"/>
      <c r="I108" s="947"/>
      <c r="J108" s="947"/>
      <c r="K108" s="947"/>
      <c r="L108" s="153" t="str">
        <f t="shared" si="0"/>
        <v>1508</v>
      </c>
      <c r="M108" s="154" t="str">
        <f t="shared" si="1"/>
        <v>FPA PUBLICITE PIECES</v>
      </c>
      <c r="N108" s="155">
        <f>+IF(OR($Q108=Parametres!$G$2,$Q108=Parametres!$G$3),I108,C108)</f>
        <v>409.18</v>
      </c>
      <c r="O108" s="155">
        <f>+IF(OR($Q108=Parametres!$G$2,$Q108=Parametres!$G$3),J108,D108)</f>
        <v>0</v>
      </c>
      <c r="P108" s="155">
        <f>+IF(OR($Q108=Parametres!$G$2,$Q108=Parametres!$G$3),K108,E108)</f>
        <v>409.18</v>
      </c>
      <c r="Q108" s="154" t="str">
        <f t="shared" si="8"/>
        <v>2-Actifs</v>
      </c>
      <c r="R108" s="153" t="str">
        <f t="shared" si="8"/>
        <v>1500</v>
      </c>
      <c r="S108" s="154">
        <f t="shared" si="8"/>
        <v>0</v>
      </c>
      <c r="T108" s="156" t="str">
        <f>+VLOOKUP($L108,Data_Validation!$A:$D,1,0)</f>
        <v>1508</v>
      </c>
      <c r="U108" s="156" t="str">
        <f>+VLOOKUP($L108,Data_Validation!$A:$D,3,0)</f>
        <v>Bilan</v>
      </c>
      <c r="V108" s="156" t="str">
        <f>+VLOOKUP($L108,Data_Validation!$A:$D,4,0)</f>
        <v>Frais Payés d'Avance</v>
      </c>
      <c r="W108" s="156" t="str">
        <f>+VLOOKUP($L108,Data_Validation!$A:$E,5,0)</f>
        <v>$</v>
      </c>
      <c r="X108" s="156">
        <f>+VLOOKUP($L108,Data_Validation!$A:$F,6,0)</f>
        <v>0</v>
      </c>
    </row>
    <row r="109" spans="1:24" ht="15.75" hidden="1" customHeight="1">
      <c r="A109" s="1012" t="s">
        <v>2642</v>
      </c>
      <c r="B109" s="1012" t="s">
        <v>2643</v>
      </c>
      <c r="C109" s="1014">
        <v>5213</v>
      </c>
      <c r="D109" s="1014">
        <v>-324</v>
      </c>
      <c r="E109" s="1014">
        <v>4889</v>
      </c>
      <c r="F109" s="1012" t="s">
        <v>293</v>
      </c>
      <c r="G109" s="1012" t="s">
        <v>2106</v>
      </c>
      <c r="H109" s="948"/>
      <c r="I109" s="947"/>
      <c r="J109" s="947"/>
      <c r="K109" s="947"/>
      <c r="L109" s="153" t="str">
        <f t="shared" si="0"/>
        <v>1510</v>
      </c>
      <c r="M109" s="154" t="str">
        <f t="shared" si="1"/>
        <v>DIAMOND KOTE (NANO)</v>
      </c>
      <c r="N109" s="155">
        <f>+IF(OR($Q109=Parametres!$G$2,$Q109=Parametres!$G$3),I109,C109)</f>
        <v>5213</v>
      </c>
      <c r="O109" s="575">
        <f>+IF(OR($Q109=Parametres!$G$2,$Q109=Parametres!$G$3),J109,D109)</f>
        <v>-324</v>
      </c>
      <c r="P109" s="155">
        <f>+IF(OR($Q109=Parametres!$G$2,$Q109=Parametres!$G$3),K109,E109)</f>
        <v>4889</v>
      </c>
      <c r="Q109" s="154" t="str">
        <f t="shared" si="8"/>
        <v>2-Actifs</v>
      </c>
      <c r="R109" s="153" t="str">
        <f t="shared" si="8"/>
        <v>1500</v>
      </c>
      <c r="S109" s="154">
        <f t="shared" si="8"/>
        <v>0</v>
      </c>
      <c r="T109" s="156" t="str">
        <f>+VLOOKUP($L109,Data_Validation!$A:$D,1,0)</f>
        <v>1510</v>
      </c>
      <c r="U109" s="156" t="str">
        <f>+VLOOKUP($L109,Data_Validation!$A:$D,3,0)</f>
        <v>Bilan</v>
      </c>
      <c r="V109" s="156" t="str">
        <f>+VLOOKUP($L109,Data_Validation!$A:$D,4,0)</f>
        <v>Frais Payés d'Avance</v>
      </c>
      <c r="W109" s="156" t="str">
        <f>+VLOOKUP($L109,Data_Validation!$A:$E,5,0)</f>
        <v>$</v>
      </c>
      <c r="X109" s="156">
        <f>+VLOOKUP($L109,Data_Validation!$A:$F,6,0)</f>
        <v>0</v>
      </c>
    </row>
    <row r="110" spans="1:24" ht="15" hidden="1" customHeight="1">
      <c r="A110" s="1012" t="s">
        <v>2152</v>
      </c>
      <c r="B110" s="1012" t="s">
        <v>2153</v>
      </c>
      <c r="C110" s="1014">
        <v>10068.24</v>
      </c>
      <c r="D110" s="1014">
        <v>-2006.97</v>
      </c>
      <c r="E110" s="1014">
        <v>8061.27</v>
      </c>
      <c r="F110" s="1012" t="s">
        <v>293</v>
      </c>
      <c r="G110" s="1012" t="s">
        <v>2106</v>
      </c>
      <c r="H110" s="948"/>
      <c r="I110" s="947"/>
      <c r="J110" s="947"/>
      <c r="K110" s="947"/>
      <c r="L110" s="153" t="str">
        <f t="shared" si="0"/>
        <v>1520</v>
      </c>
      <c r="M110" s="154" t="str">
        <f t="shared" si="1"/>
        <v>FPA IMMATRICULATION</v>
      </c>
      <c r="N110" s="155">
        <f>+IF(OR($Q110=Parametres!$G$2,$Q110=Parametres!$G$3),I110,C110)</f>
        <v>10068.24</v>
      </c>
      <c r="O110" s="155">
        <f>+IF(OR($Q110=Parametres!$G$2,$Q110=Parametres!$G$3),J110,D110)</f>
        <v>-2006.97</v>
      </c>
      <c r="P110" s="155">
        <f>+IF(OR($Q110=Parametres!$G$2,$Q110=Parametres!$G$3),K110,E110)</f>
        <v>8061.27</v>
      </c>
      <c r="Q110" s="154" t="str">
        <f t="shared" si="8"/>
        <v>2-Actifs</v>
      </c>
      <c r="R110" s="153" t="str">
        <f t="shared" si="8"/>
        <v>1500</v>
      </c>
      <c r="S110" s="154">
        <f t="shared" si="8"/>
        <v>0</v>
      </c>
      <c r="T110" s="156" t="str">
        <f>+VLOOKUP($L110,Data_Validation!$A:$D,1,0)</f>
        <v>1520</v>
      </c>
      <c r="U110" s="156" t="str">
        <f>+VLOOKUP($L110,Data_Validation!$A:$D,3,0)</f>
        <v>Bilan</v>
      </c>
      <c r="V110" s="156" t="str">
        <f>+VLOOKUP($L110,Data_Validation!$A:$D,4,0)</f>
        <v>Frais Payés d'Avance</v>
      </c>
      <c r="W110" s="156" t="str">
        <f>+VLOOKUP($L110,Data_Validation!$A:$E,5,0)</f>
        <v>$</v>
      </c>
      <c r="X110" s="156">
        <f>+VLOOKUP($L110,Data_Validation!$A:$F,6,0)</f>
        <v>0</v>
      </c>
    </row>
    <row r="111" spans="1:24" ht="15" hidden="1" customHeight="1">
      <c r="A111" s="1012" t="s">
        <v>2396</v>
      </c>
      <c r="B111" s="1012" t="s">
        <v>2397</v>
      </c>
      <c r="C111" s="1014">
        <v>4125.88</v>
      </c>
      <c r="D111" s="1014">
        <v>-2310</v>
      </c>
      <c r="E111" s="1014">
        <v>1815.88</v>
      </c>
      <c r="F111" s="1012" t="s">
        <v>293</v>
      </c>
      <c r="G111" s="1012" t="s">
        <v>2106</v>
      </c>
      <c r="H111" s="948"/>
      <c r="I111" s="947"/>
      <c r="J111" s="947"/>
      <c r="K111" s="947"/>
      <c r="L111" s="153" t="str">
        <f t="shared" si="0"/>
        <v>1522</v>
      </c>
      <c r="M111" s="154" t="str">
        <f t="shared" si="1"/>
        <v>ASSURANCE DALE PARIZEAU</v>
      </c>
      <c r="N111" s="155">
        <f>+IF(OR($Q111=Parametres!$G$2,$Q111=Parametres!$G$3),I111,C111)</f>
        <v>4125.88</v>
      </c>
      <c r="O111" s="155">
        <f>+IF(OR($Q111=Parametres!$G$2,$Q111=Parametres!$G$3),J111,D111)</f>
        <v>-2310</v>
      </c>
      <c r="P111" s="155">
        <f>+IF(OR($Q111=Parametres!$G$2,$Q111=Parametres!$G$3),K111,E111)</f>
        <v>1815.88</v>
      </c>
      <c r="Q111" s="154" t="str">
        <f t="shared" si="8"/>
        <v>2-Actifs</v>
      </c>
      <c r="R111" s="153" t="str">
        <f t="shared" si="8"/>
        <v>1500</v>
      </c>
      <c r="S111" s="154">
        <f t="shared" si="8"/>
        <v>0</v>
      </c>
      <c r="T111" s="156" t="str">
        <f>+VLOOKUP($L111,Data_Validation!$A:$D,1,0)</f>
        <v>1522</v>
      </c>
      <c r="U111" s="156" t="str">
        <f>+VLOOKUP($L111,Data_Validation!$A:$D,3,0)</f>
        <v>Bilan</v>
      </c>
      <c r="V111" s="156" t="str">
        <f>+VLOOKUP($L111,Data_Validation!$A:$D,4,0)</f>
        <v>Frais Payés d'Avance</v>
      </c>
      <c r="W111" s="156" t="str">
        <f>+VLOOKUP($L111,Data_Validation!$A:$E,5,0)</f>
        <v>$</v>
      </c>
      <c r="X111" s="156">
        <f>+VLOOKUP($L111,Data_Validation!$A:$F,6,0)</f>
        <v>0</v>
      </c>
    </row>
    <row r="112" spans="1:24" ht="15" customHeight="1">
      <c r="A112" s="1012" t="s">
        <v>2857</v>
      </c>
      <c r="B112" s="1012" t="s">
        <v>2914</v>
      </c>
      <c r="C112" s="1014">
        <v>384</v>
      </c>
      <c r="D112" s="1014">
        <v>-385</v>
      </c>
      <c r="E112" s="1014">
        <v>-1</v>
      </c>
      <c r="F112" s="1012" t="s">
        <v>293</v>
      </c>
      <c r="G112" s="1012" t="s">
        <v>2106</v>
      </c>
      <c r="H112" s="948"/>
      <c r="I112" s="947"/>
      <c r="J112" s="947"/>
      <c r="K112" s="947"/>
      <c r="L112" s="153" t="str">
        <f t="shared" si="0"/>
        <v>1524</v>
      </c>
      <c r="M112" s="154" t="str">
        <f t="shared" si="1"/>
        <v>FPS ASSURANCE DEMO</v>
      </c>
      <c r="N112" s="155">
        <f>+IF(OR($Q112=Parametres!$G$2,$Q112=Parametres!$G$3),I112,C112)</f>
        <v>384</v>
      </c>
      <c r="O112" s="155">
        <f>+IF(OR($Q112=Parametres!$G$2,$Q112=Parametres!$G$3),J112,D112)</f>
        <v>-385</v>
      </c>
      <c r="P112" s="155">
        <f>+IF(OR($Q112=Parametres!$G$2,$Q112=Parametres!$G$3),K112,E112)</f>
        <v>-1</v>
      </c>
      <c r="Q112" s="154" t="str">
        <f t="shared" si="8"/>
        <v>2-Actifs</v>
      </c>
      <c r="R112" s="153" t="str">
        <f t="shared" si="8"/>
        <v>1500</v>
      </c>
      <c r="S112" s="154">
        <f t="shared" si="8"/>
        <v>0</v>
      </c>
      <c r="T112" s="156" t="e">
        <f>+VLOOKUP($L112,Data_Validation!$A:$D,1,0)</f>
        <v>#N/A</v>
      </c>
      <c r="U112" s="156" t="e">
        <f>+VLOOKUP($L112,Data_Validation!$A:$D,3,0)</f>
        <v>#N/A</v>
      </c>
      <c r="V112" s="156" t="e">
        <f>+VLOOKUP($L112,Data_Validation!$A:$D,4,0)</f>
        <v>#N/A</v>
      </c>
      <c r="W112" s="156" t="e">
        <f>+VLOOKUP($L112,Data_Validation!$A:$E,5,0)</f>
        <v>#N/A</v>
      </c>
      <c r="X112" s="156" t="e">
        <f>+VLOOKUP($L112,Data_Validation!$A:$F,6,0)</f>
        <v>#N/A</v>
      </c>
    </row>
    <row r="113" spans="1:24" ht="15.75" hidden="1" customHeight="1">
      <c r="A113" s="1012" t="s">
        <v>2124</v>
      </c>
      <c r="B113" s="1012" t="s">
        <v>2125</v>
      </c>
      <c r="C113" s="1014">
        <v>7734.71</v>
      </c>
      <c r="D113" s="1014">
        <v>-2000</v>
      </c>
      <c r="E113" s="1014">
        <v>5734.71</v>
      </c>
      <c r="F113" s="1012" t="s">
        <v>293</v>
      </c>
      <c r="G113" s="1012" t="s">
        <v>2106</v>
      </c>
      <c r="H113" s="948"/>
      <c r="I113" s="947"/>
      <c r="J113" s="947"/>
      <c r="K113" s="947"/>
      <c r="L113" s="153" t="str">
        <f t="shared" si="0"/>
        <v>1528</v>
      </c>
      <c r="M113" s="154" t="str">
        <f t="shared" si="1"/>
        <v>FPA DEDUCTIBLE ASSURANCE</v>
      </c>
      <c r="N113" s="155">
        <f>+IF(OR($Q113=Parametres!$G$2,$Q113=Parametres!$G$3),I113,C113)</f>
        <v>7734.71</v>
      </c>
      <c r="O113" s="575">
        <f>+IF(OR($Q113=Parametres!$G$2,$Q113=Parametres!$G$3),J113,D113)</f>
        <v>-2000</v>
      </c>
      <c r="P113" s="155">
        <f>+IF(OR($Q113=Parametres!$G$2,$Q113=Parametres!$G$3),K113,E113)</f>
        <v>5734.71</v>
      </c>
      <c r="Q113" s="154" t="str">
        <f t="shared" si="8"/>
        <v>2-Actifs</v>
      </c>
      <c r="R113" s="153" t="str">
        <f t="shared" si="8"/>
        <v>1500</v>
      </c>
      <c r="S113" s="154">
        <f t="shared" si="8"/>
        <v>0</v>
      </c>
      <c r="T113" s="156" t="str">
        <f>+VLOOKUP($L113,Data_Validation!$A:$D,1,0)</f>
        <v>1528</v>
      </c>
      <c r="U113" s="156" t="str">
        <f>+VLOOKUP($L113,Data_Validation!$A:$D,3,0)</f>
        <v>Bilan</v>
      </c>
      <c r="V113" s="156" t="str">
        <f>+VLOOKUP($L113,Data_Validation!$A:$D,4,0)</f>
        <v>Autres Courus</v>
      </c>
      <c r="W113" s="156" t="str">
        <f>+VLOOKUP($L113,Data_Validation!$A:$E,5,0)</f>
        <v>$</v>
      </c>
      <c r="X113" s="156">
        <f>+VLOOKUP($L113,Data_Validation!$A:$F,6,0)</f>
        <v>0</v>
      </c>
    </row>
    <row r="114" spans="1:24" ht="15" hidden="1" customHeight="1">
      <c r="A114" s="1012" t="s">
        <v>2605</v>
      </c>
      <c r="B114" s="1012" t="s">
        <v>2606</v>
      </c>
      <c r="C114" s="1014">
        <v>5686.51</v>
      </c>
      <c r="D114" s="1014">
        <v>488.44</v>
      </c>
      <c r="E114" s="1014">
        <v>6174.95</v>
      </c>
      <c r="F114" s="1012" t="s">
        <v>293</v>
      </c>
      <c r="G114" s="1012" t="s">
        <v>2106</v>
      </c>
      <c r="H114" s="948"/>
      <c r="I114" s="947"/>
      <c r="J114" s="947"/>
      <c r="K114" s="947"/>
      <c r="L114" s="153" t="str">
        <f t="shared" si="0"/>
        <v>1530</v>
      </c>
      <c r="M114" s="579" t="str">
        <f t="shared" si="1"/>
        <v>FPA PAPETERIE</v>
      </c>
      <c r="N114" s="155">
        <f>+IF(OR($Q114=Parametres!$G$2,$Q114=Parametres!$G$3),I114,C114)</f>
        <v>5686.51</v>
      </c>
      <c r="O114" s="580">
        <f>+IF(OR($Q114=Parametres!$G$2,$Q114=Parametres!$G$3),J114,D114)</f>
        <v>488.44</v>
      </c>
      <c r="P114" s="581">
        <f>+IF(OR($Q114=Parametres!$G$2,$Q114=Parametres!$G$3),K114,E114)</f>
        <v>6174.95</v>
      </c>
      <c r="Q114" s="154" t="str">
        <f t="shared" ref="Q114:S129" si="9">+F114</f>
        <v>2-Actifs</v>
      </c>
      <c r="R114" s="153" t="str">
        <f t="shared" si="9"/>
        <v>1500</v>
      </c>
      <c r="S114" s="154">
        <f t="shared" si="9"/>
        <v>0</v>
      </c>
      <c r="T114" s="156" t="str">
        <f>+VLOOKUP($L114,Data_Validation!$A:$D,1,0)</f>
        <v>1530</v>
      </c>
      <c r="U114" s="156" t="str">
        <f>+VLOOKUP($L114,Data_Validation!$A:$D,3,0)</f>
        <v>Bilan</v>
      </c>
      <c r="V114" s="156" t="str">
        <f>+VLOOKUP($L114,Data_Validation!$A:$D,4,0)</f>
        <v>Frais Payés d'Avance</v>
      </c>
      <c r="W114" s="156" t="str">
        <f>+VLOOKUP($L114,Data_Validation!$A:$E,5,0)</f>
        <v>$</v>
      </c>
      <c r="X114" s="156">
        <f>+VLOOKUP($L114,Data_Validation!$A:$F,6,0)</f>
        <v>0</v>
      </c>
    </row>
    <row r="115" spans="1:24" ht="15" hidden="1" customHeight="1">
      <c r="A115" s="1012" t="s">
        <v>2181</v>
      </c>
      <c r="B115" s="1012" t="s">
        <v>2182</v>
      </c>
      <c r="C115" s="1014">
        <v>1113.95</v>
      </c>
      <c r="D115" s="1014">
        <v>-200</v>
      </c>
      <c r="E115" s="1014">
        <v>913.95</v>
      </c>
      <c r="F115" s="1012" t="s">
        <v>293</v>
      </c>
      <c r="G115" s="1012" t="s">
        <v>2106</v>
      </c>
      <c r="H115" s="948"/>
      <c r="I115" s="947"/>
      <c r="J115" s="947"/>
      <c r="K115" s="947"/>
      <c r="L115" s="153" t="str">
        <f t="shared" si="0"/>
        <v>1532</v>
      </c>
      <c r="M115" s="154" t="str">
        <f t="shared" si="1"/>
        <v>FPA C.C.A.M.Q.</v>
      </c>
      <c r="N115" s="155">
        <f>+IF(OR($Q115=Parametres!$G$2,$Q115=Parametres!$G$3),I115,C115)</f>
        <v>1113.95</v>
      </c>
      <c r="O115" s="155">
        <f>+IF(OR($Q115=Parametres!$G$2,$Q115=Parametres!$G$3),J115,D115)</f>
        <v>-200</v>
      </c>
      <c r="P115" s="155">
        <f>+IF(OR($Q115=Parametres!$G$2,$Q115=Parametres!$G$3),K115,E115)</f>
        <v>913.95</v>
      </c>
      <c r="Q115" s="154" t="str">
        <f t="shared" si="9"/>
        <v>2-Actifs</v>
      </c>
      <c r="R115" s="153" t="str">
        <f t="shared" si="9"/>
        <v>1500</v>
      </c>
      <c r="S115" s="154">
        <f t="shared" si="9"/>
        <v>0</v>
      </c>
      <c r="T115" s="156" t="str">
        <f>+VLOOKUP($L115,Data_Validation!$A:$D,1,0)</f>
        <v>1532</v>
      </c>
      <c r="U115" s="156" t="str">
        <f>+VLOOKUP($L115,Data_Validation!$A:$D,3,0)</f>
        <v>Bilan</v>
      </c>
      <c r="V115" s="156" t="str">
        <f>+VLOOKUP($L115,Data_Validation!$A:$D,4,0)</f>
        <v>Frais Payés d'Avance</v>
      </c>
      <c r="W115" s="156" t="str">
        <f>+VLOOKUP($L115,Data_Validation!$A:$E,5,0)</f>
        <v>$</v>
      </c>
      <c r="X115" s="156">
        <f>+VLOOKUP($L115,Data_Validation!$A:$F,6,0)</f>
        <v>0</v>
      </c>
    </row>
    <row r="116" spans="1:24" ht="15" hidden="1" customHeight="1">
      <c r="A116" s="1012" t="s">
        <v>2199</v>
      </c>
      <c r="B116" s="1012" t="s">
        <v>2200</v>
      </c>
      <c r="C116" s="1014">
        <v>-1078.8399999999999</v>
      </c>
      <c r="D116" s="1014">
        <v>-1840.06</v>
      </c>
      <c r="E116" s="1014">
        <v>-2918.9</v>
      </c>
      <c r="F116" s="1012" t="s">
        <v>293</v>
      </c>
      <c r="G116" s="1012" t="s">
        <v>2106</v>
      </c>
      <c r="H116" s="948"/>
      <c r="I116" s="947"/>
      <c r="J116" s="947"/>
      <c r="K116" s="947"/>
      <c r="L116" s="153" t="str">
        <f t="shared" si="0"/>
        <v>1534</v>
      </c>
      <c r="M116" s="154" t="str">
        <f t="shared" si="1"/>
        <v>FPA FOURNITURES LAVAGE</v>
      </c>
      <c r="N116" s="155">
        <f>+IF(OR($Q116=Parametres!$G$2,$Q116=Parametres!$G$3),I116,C116)</f>
        <v>-1078.8399999999999</v>
      </c>
      <c r="O116" s="155">
        <f>+IF(OR($Q116=Parametres!$G$2,$Q116=Parametres!$G$3),J116,D116)</f>
        <v>-1840.06</v>
      </c>
      <c r="P116" s="155">
        <f>+IF(OR($Q116=Parametres!$G$2,$Q116=Parametres!$G$3),K116,E116)</f>
        <v>-2918.9</v>
      </c>
      <c r="Q116" s="154" t="str">
        <f t="shared" si="9"/>
        <v>2-Actifs</v>
      </c>
      <c r="R116" s="153" t="str">
        <f t="shared" si="9"/>
        <v>1500</v>
      </c>
      <c r="S116" s="154">
        <f t="shared" si="9"/>
        <v>0</v>
      </c>
      <c r="T116" s="156" t="str">
        <f>+VLOOKUP($L116,Data_Validation!$A:$D,1,0)</f>
        <v>1534</v>
      </c>
      <c r="U116" s="156" t="str">
        <f>+VLOOKUP($L116,Data_Validation!$A:$D,3,0)</f>
        <v>Bilan</v>
      </c>
      <c r="V116" s="156" t="str">
        <f>+VLOOKUP($L116,Data_Validation!$A:$D,4,0)</f>
        <v>Frais Payés d'Avance</v>
      </c>
      <c r="W116" s="156" t="str">
        <f>+VLOOKUP($L116,Data_Validation!$A:$E,5,0)</f>
        <v>$</v>
      </c>
      <c r="X116" s="156">
        <f>+VLOOKUP($L116,Data_Validation!$A:$F,6,0)</f>
        <v>0</v>
      </c>
    </row>
    <row r="117" spans="1:24" ht="15.75" hidden="1" customHeight="1">
      <c r="A117" s="1012" t="s">
        <v>2398</v>
      </c>
      <c r="B117" s="1012" t="s">
        <v>2399</v>
      </c>
      <c r="C117" s="1014">
        <v>-16799.349999999999</v>
      </c>
      <c r="D117" s="1014">
        <v>-2348.02</v>
      </c>
      <c r="E117" s="1014">
        <v>-19147.37</v>
      </c>
      <c r="F117" s="1012" t="s">
        <v>293</v>
      </c>
      <c r="G117" s="1012" t="s">
        <v>2106</v>
      </c>
      <c r="H117" s="948"/>
      <c r="I117" s="947"/>
      <c r="J117" s="947"/>
      <c r="K117" s="947"/>
      <c r="L117" s="153" t="str">
        <f t="shared" si="0"/>
        <v>1536</v>
      </c>
      <c r="M117" s="579" t="str">
        <f t="shared" si="1"/>
        <v>FPA HONORAIRES PROFESSIONNELS</v>
      </c>
      <c r="N117" s="155">
        <f>+IF(OR($Q117=Parametres!$G$2,$Q117=Parametres!$G$3),I117,C117)</f>
        <v>-16799.349999999999</v>
      </c>
      <c r="O117" s="580">
        <f>+IF(OR($Q117=Parametres!$G$2,$Q117=Parametres!$G$3),J117,D117)</f>
        <v>-2348.02</v>
      </c>
      <c r="P117" s="581">
        <f>+IF(OR($Q117=Parametres!$G$2,$Q117=Parametres!$G$3),K117,E117)</f>
        <v>-19147.37</v>
      </c>
      <c r="Q117" s="154" t="str">
        <f t="shared" si="9"/>
        <v>2-Actifs</v>
      </c>
      <c r="R117" s="153" t="str">
        <f t="shared" si="9"/>
        <v>1500</v>
      </c>
      <c r="S117" s="154">
        <f t="shared" si="9"/>
        <v>0</v>
      </c>
      <c r="T117" s="156" t="str">
        <f>+VLOOKUP($L117,Data_Validation!$A:$D,1,0)</f>
        <v>1536</v>
      </c>
      <c r="U117" s="156" t="str">
        <f>+VLOOKUP($L117,Data_Validation!$A:$D,3,0)</f>
        <v>Bilan</v>
      </c>
      <c r="V117" s="156" t="str">
        <f>+VLOOKUP($L117,Data_Validation!$A:$D,4,0)</f>
        <v>Frais Payés d'Avance</v>
      </c>
      <c r="W117" s="156" t="str">
        <f>+VLOOKUP($L117,Data_Validation!$A:$E,5,0)</f>
        <v>$</v>
      </c>
      <c r="X117" s="156">
        <f>+VLOOKUP($L117,Data_Validation!$A:$F,6,0)</f>
        <v>0</v>
      </c>
    </row>
    <row r="118" spans="1:24" ht="15" hidden="1" customHeight="1">
      <c r="A118" s="1012" t="s">
        <v>2682</v>
      </c>
      <c r="B118" s="1012" t="s">
        <v>2683</v>
      </c>
      <c r="C118" s="1014">
        <v>-27525.42</v>
      </c>
      <c r="D118" s="1014">
        <v>-5505.95</v>
      </c>
      <c r="E118" s="1014">
        <v>-33031.370000000003</v>
      </c>
      <c r="F118" s="1012" t="s">
        <v>293</v>
      </c>
      <c r="G118" s="1012" t="s">
        <v>2106</v>
      </c>
      <c r="H118" s="948"/>
      <c r="I118" s="947"/>
      <c r="J118" s="947"/>
      <c r="K118" s="947"/>
      <c r="L118" s="153" t="str">
        <f t="shared" si="0"/>
        <v>1538</v>
      </c>
      <c r="M118" s="154" t="str">
        <f t="shared" si="1"/>
        <v>FPA FORMATION</v>
      </c>
      <c r="N118" s="155">
        <f>+IF(OR($Q118=Parametres!$G$2,$Q118=Parametres!$G$3),I118,C118)</f>
        <v>-27525.42</v>
      </c>
      <c r="O118" s="575">
        <f>+IF(OR($Q118=Parametres!$G$2,$Q118=Parametres!$G$3),J118,D118)</f>
        <v>-5505.95</v>
      </c>
      <c r="P118" s="155">
        <f>+IF(OR($Q118=Parametres!$G$2,$Q118=Parametres!$G$3),K118,E118)</f>
        <v>-33031.370000000003</v>
      </c>
      <c r="Q118" s="154" t="str">
        <f t="shared" si="9"/>
        <v>2-Actifs</v>
      </c>
      <c r="R118" s="153" t="str">
        <f t="shared" si="9"/>
        <v>1500</v>
      </c>
      <c r="S118" s="154">
        <f t="shared" si="9"/>
        <v>0</v>
      </c>
      <c r="T118" s="156" t="str">
        <f>+VLOOKUP($L118,Data_Validation!$A:$D,1,0)</f>
        <v>1538</v>
      </c>
      <c r="U118" s="156" t="str">
        <f>+VLOOKUP($L118,Data_Validation!$A:$D,3,0)</f>
        <v>Bilan</v>
      </c>
      <c r="V118" s="156" t="str">
        <f>+VLOOKUP($L118,Data_Validation!$A:$D,4,0)</f>
        <v>Frais Payés d'Avance</v>
      </c>
      <c r="W118" s="156" t="str">
        <f>+VLOOKUP($L118,Data_Validation!$A:$E,5,0)</f>
        <v>$</v>
      </c>
      <c r="X118" s="156">
        <f>+VLOOKUP($L118,Data_Validation!$A:$F,6,0)</f>
        <v>0</v>
      </c>
    </row>
    <row r="119" spans="1:24" ht="15" hidden="1" customHeight="1">
      <c r="A119" s="1012" t="s">
        <v>2785</v>
      </c>
      <c r="B119" s="1012" t="s">
        <v>2786</v>
      </c>
      <c r="C119" s="1014">
        <v>4640.3599999999997</v>
      </c>
      <c r="D119" s="1014">
        <v>1488.11</v>
      </c>
      <c r="E119" s="1014">
        <v>6128.47</v>
      </c>
      <c r="F119" s="1012" t="s">
        <v>293</v>
      </c>
      <c r="G119" s="1012" t="s">
        <v>2106</v>
      </c>
      <c r="H119" s="948"/>
      <c r="I119" s="947"/>
      <c r="J119" s="947"/>
      <c r="K119" s="947"/>
      <c r="L119" s="153" t="str">
        <f t="shared" si="0"/>
        <v>1540</v>
      </c>
      <c r="M119" s="154" t="str">
        <f t="shared" si="1"/>
        <v>FPA CONTRATS DE SERVICES</v>
      </c>
      <c r="N119" s="155">
        <f>+IF(OR($Q119=Parametres!$G$2,$Q119=Parametres!$G$3),I119,C119)</f>
        <v>4640.3599999999997</v>
      </c>
      <c r="O119" s="575">
        <f>+IF(OR($Q119=Parametres!$G$2,$Q119=Parametres!$G$3),J119,D119)</f>
        <v>1488.11</v>
      </c>
      <c r="P119" s="155">
        <f>+IF(OR($Q119=Parametres!$G$2,$Q119=Parametres!$G$3),K119,E119)</f>
        <v>6128.47</v>
      </c>
      <c r="Q119" s="154" t="str">
        <f t="shared" si="9"/>
        <v>2-Actifs</v>
      </c>
      <c r="R119" s="153" t="str">
        <f t="shared" si="9"/>
        <v>1500</v>
      </c>
      <c r="S119" s="154">
        <f t="shared" si="9"/>
        <v>0</v>
      </c>
      <c r="T119" s="156" t="str">
        <f>+VLOOKUP($L119,Data_Validation!$A:$D,1,0)</f>
        <v>1540</v>
      </c>
      <c r="U119" s="156" t="str">
        <f>+VLOOKUP($L119,Data_Validation!$A:$D,3,0)</f>
        <v>Bilan</v>
      </c>
      <c r="V119" s="156" t="str">
        <f>+VLOOKUP($L119,Data_Validation!$A:$D,4,0)</f>
        <v>Frais Payés d'Avance</v>
      </c>
      <c r="W119" s="156" t="str">
        <f>+VLOOKUP($L119,Data_Validation!$A:$E,5,0)</f>
        <v>$</v>
      </c>
      <c r="X119" s="156">
        <f>+VLOOKUP($L119,Data_Validation!$A:$F,6,0)</f>
        <v>0</v>
      </c>
    </row>
    <row r="120" spans="1:24" ht="15" hidden="1" customHeight="1">
      <c r="A120" s="1012" t="s">
        <v>2201</v>
      </c>
      <c r="B120" s="1012" t="s">
        <v>2202</v>
      </c>
      <c r="C120" s="1014">
        <v>3489.89</v>
      </c>
      <c r="D120" s="1014">
        <v>-1170</v>
      </c>
      <c r="E120" s="1014">
        <v>2319.89</v>
      </c>
      <c r="F120" s="1012" t="s">
        <v>293</v>
      </c>
      <c r="G120" s="1012" t="s">
        <v>2106</v>
      </c>
      <c r="H120" s="948"/>
      <c r="I120" s="947"/>
      <c r="J120" s="947"/>
      <c r="K120" s="947"/>
      <c r="L120" s="153" t="str">
        <f t="shared" si="0"/>
        <v>1544</v>
      </c>
      <c r="M120" s="154" t="str">
        <f t="shared" si="1"/>
        <v>FPA GAZ METROPOLITAIN</v>
      </c>
      <c r="N120" s="155">
        <f>+IF(OR($Q120=Parametres!$G$2,$Q120=Parametres!$G$3),I120,C120)</f>
        <v>3489.89</v>
      </c>
      <c r="O120" s="155">
        <f>+IF(OR($Q120=Parametres!$G$2,$Q120=Parametres!$G$3),J120,D120)</f>
        <v>-1170</v>
      </c>
      <c r="P120" s="155">
        <f>+IF(OR($Q120=Parametres!$G$2,$Q120=Parametres!$G$3),K120,E120)</f>
        <v>2319.89</v>
      </c>
      <c r="Q120" s="154" t="str">
        <f t="shared" si="9"/>
        <v>2-Actifs</v>
      </c>
      <c r="R120" s="153" t="str">
        <f t="shared" si="9"/>
        <v>1500</v>
      </c>
      <c r="S120" s="154">
        <f t="shared" si="9"/>
        <v>0</v>
      </c>
      <c r="T120" s="156" t="str">
        <f>+VLOOKUP($L120,Data_Validation!$A:$D,1,0)</f>
        <v>1544</v>
      </c>
      <c r="U120" s="156" t="str">
        <f>+VLOOKUP($L120,Data_Validation!$A:$D,3,0)</f>
        <v>Bilan</v>
      </c>
      <c r="V120" s="156" t="str">
        <f>+VLOOKUP($L120,Data_Validation!$A:$D,4,0)</f>
        <v>Autres Courus</v>
      </c>
      <c r="W120" s="156" t="str">
        <f>+VLOOKUP($L120,Data_Validation!$A:$E,5,0)</f>
        <v>$</v>
      </c>
      <c r="X120" s="156">
        <f>+VLOOKUP($L120,Data_Validation!$A:$F,6,0)</f>
        <v>0</v>
      </c>
    </row>
    <row r="121" spans="1:24" ht="15" hidden="1" customHeight="1">
      <c r="A121" s="1012" t="s">
        <v>2186</v>
      </c>
      <c r="B121" s="1012" t="s">
        <v>2187</v>
      </c>
      <c r="C121" s="1014">
        <v>-5081.51</v>
      </c>
      <c r="D121" s="1014">
        <v>1344.86</v>
      </c>
      <c r="E121" s="1014">
        <v>-3736.65</v>
      </c>
      <c r="F121" s="1012" t="s">
        <v>293</v>
      </c>
      <c r="G121" s="1012" t="s">
        <v>2106</v>
      </c>
      <c r="H121" s="948"/>
      <c r="I121" s="947"/>
      <c r="J121" s="947"/>
      <c r="K121" s="947"/>
      <c r="L121" s="153" t="str">
        <f t="shared" si="0"/>
        <v>1546</v>
      </c>
      <c r="M121" s="154" t="str">
        <f t="shared" si="1"/>
        <v>FPA ELECTRICITE HYDRO-QUEBEC</v>
      </c>
      <c r="N121" s="155">
        <f>+IF(OR($Q121=Parametres!$G$2,$Q121=Parametres!$G$3),I121,C121)</f>
        <v>-5081.51</v>
      </c>
      <c r="O121" s="155">
        <f>+IF(OR($Q121=Parametres!$G$2,$Q121=Parametres!$G$3),J121,D121)</f>
        <v>1344.86</v>
      </c>
      <c r="P121" s="155">
        <f>+IF(OR($Q121=Parametres!$G$2,$Q121=Parametres!$G$3),K121,E121)</f>
        <v>-3736.65</v>
      </c>
      <c r="Q121" s="154" t="str">
        <f t="shared" si="9"/>
        <v>2-Actifs</v>
      </c>
      <c r="R121" s="153" t="str">
        <f t="shared" si="9"/>
        <v>1500</v>
      </c>
      <c r="S121" s="154">
        <f t="shared" si="9"/>
        <v>0</v>
      </c>
      <c r="T121" s="156" t="str">
        <f>+VLOOKUP($L121,Data_Validation!$A:$D,1,0)</f>
        <v>1546</v>
      </c>
      <c r="U121" s="156" t="str">
        <f>+VLOOKUP($L121,Data_Validation!$A:$D,3,0)</f>
        <v>Bilan</v>
      </c>
      <c r="V121" s="156" t="str">
        <f>+VLOOKUP($L121,Data_Validation!$A:$D,4,0)</f>
        <v>Autres Courus</v>
      </c>
      <c r="W121" s="156" t="str">
        <f>+VLOOKUP($L121,Data_Validation!$A:$E,5,0)</f>
        <v>$</v>
      </c>
      <c r="X121" s="156">
        <f>+VLOOKUP($L121,Data_Validation!$A:$F,6,0)</f>
        <v>0</v>
      </c>
    </row>
    <row r="122" spans="1:24" ht="15" hidden="1" customHeight="1">
      <c r="A122" s="1012" t="s">
        <v>2122</v>
      </c>
      <c r="B122" s="1012" t="s">
        <v>2123</v>
      </c>
      <c r="C122" s="1014">
        <v>-8737.89</v>
      </c>
      <c r="D122" s="1014">
        <v>-2365.31</v>
      </c>
      <c r="E122" s="1014">
        <v>-11103.2</v>
      </c>
      <c r="F122" s="1012" t="s">
        <v>293</v>
      </c>
      <c r="G122" s="1012" t="s">
        <v>2106</v>
      </c>
      <c r="H122" s="948"/>
      <c r="I122" s="947"/>
      <c r="J122" s="947"/>
      <c r="K122" s="947"/>
      <c r="L122" s="153" t="str">
        <f t="shared" si="0"/>
        <v>1552</v>
      </c>
      <c r="M122" s="154" t="str">
        <f t="shared" si="1"/>
        <v>FPA C.S.S.T.</v>
      </c>
      <c r="N122" s="155">
        <f>+IF(OR($Q122=Parametres!$G$2,$Q122=Parametres!$G$3),I122,C122)</f>
        <v>-8737.89</v>
      </c>
      <c r="O122" s="155">
        <f>+IF(OR($Q122=Parametres!$G$2,$Q122=Parametres!$G$3),J122,D122)</f>
        <v>-2365.31</v>
      </c>
      <c r="P122" s="155">
        <f>+IF(OR($Q122=Parametres!$G$2,$Q122=Parametres!$G$3),K122,E122)</f>
        <v>-11103.2</v>
      </c>
      <c r="Q122" s="154" t="str">
        <f t="shared" si="9"/>
        <v>2-Actifs</v>
      </c>
      <c r="R122" s="153" t="str">
        <f t="shared" si="9"/>
        <v>1500</v>
      </c>
      <c r="S122" s="154">
        <f t="shared" si="9"/>
        <v>0</v>
      </c>
      <c r="T122" s="156" t="str">
        <f>+VLOOKUP($L122,Data_Validation!$A:$D,1,0)</f>
        <v>1552</v>
      </c>
      <c r="U122" s="156" t="str">
        <f>+VLOOKUP($L122,Data_Validation!$A:$D,3,0)</f>
        <v>Bilan</v>
      </c>
      <c r="V122" s="156" t="str">
        <f>+VLOOKUP($L122,Data_Validation!$A:$D,4,0)</f>
        <v>Frais Payés d'Avance</v>
      </c>
      <c r="W122" s="156" t="str">
        <f>+VLOOKUP($L122,Data_Validation!$A:$E,5,0)</f>
        <v>$</v>
      </c>
      <c r="X122" s="156">
        <f>+VLOOKUP($L122,Data_Validation!$A:$F,6,0)</f>
        <v>0</v>
      </c>
    </row>
    <row r="123" spans="1:24" ht="15.75" hidden="1" customHeight="1">
      <c r="A123" s="1012" t="s">
        <v>2116</v>
      </c>
      <c r="B123" s="1012" t="s">
        <v>2117</v>
      </c>
      <c r="C123" s="1014">
        <v>40291.86</v>
      </c>
      <c r="D123" s="1014">
        <v>-4275</v>
      </c>
      <c r="E123" s="1014">
        <v>36016.86</v>
      </c>
      <c r="F123" s="1012" t="s">
        <v>293</v>
      </c>
      <c r="G123" s="1012" t="s">
        <v>2106</v>
      </c>
      <c r="H123" s="948"/>
      <c r="I123" s="947"/>
      <c r="J123" s="947"/>
      <c r="K123" s="947"/>
      <c r="L123" s="153" t="str">
        <f t="shared" si="0"/>
        <v>1582</v>
      </c>
      <c r="M123" s="154" t="str">
        <f t="shared" si="1"/>
        <v>FPA TAXES MUNICIPALES</v>
      </c>
      <c r="N123" s="155">
        <f>+IF(OR($Q123=Parametres!$G$2,$Q123=Parametres!$G$3),I123,C123)</f>
        <v>40291.86</v>
      </c>
      <c r="O123" s="155">
        <f>+IF(OR($Q123=Parametres!$G$2,$Q123=Parametres!$G$3),J123,D123)</f>
        <v>-4275</v>
      </c>
      <c r="P123" s="155">
        <f>+IF(OR($Q123=Parametres!$G$2,$Q123=Parametres!$G$3),K123,E123)</f>
        <v>36016.86</v>
      </c>
      <c r="Q123" s="154" t="str">
        <f t="shared" si="9"/>
        <v>2-Actifs</v>
      </c>
      <c r="R123" s="153" t="str">
        <f t="shared" si="9"/>
        <v>1500</v>
      </c>
      <c r="S123" s="154">
        <f t="shared" si="9"/>
        <v>0</v>
      </c>
      <c r="T123" s="156" t="str">
        <f>+VLOOKUP($L123,Data_Validation!$A:$D,1,0)</f>
        <v>1582</v>
      </c>
      <c r="U123" s="156" t="str">
        <f>+VLOOKUP($L123,Data_Validation!$A:$D,3,0)</f>
        <v>Bilan</v>
      </c>
      <c r="V123" s="156" t="str">
        <f>+VLOOKUP($L123,Data_Validation!$A:$D,4,0)</f>
        <v>Frais Payés d'Avance</v>
      </c>
      <c r="W123" s="156" t="str">
        <f>+VLOOKUP($L123,Data_Validation!$A:$E,5,0)</f>
        <v>$</v>
      </c>
      <c r="X123" s="156">
        <f>+VLOOKUP($L123,Data_Validation!$A:$F,6,0)</f>
        <v>0</v>
      </c>
    </row>
    <row r="124" spans="1:24" ht="15" hidden="1" customHeight="1">
      <c r="A124" s="1012" t="s">
        <v>2142</v>
      </c>
      <c r="B124" s="1012" t="s">
        <v>2143</v>
      </c>
      <c r="C124" s="1014">
        <v>-17550</v>
      </c>
      <c r="D124" s="1014">
        <v>-2925</v>
      </c>
      <c r="E124" s="1014">
        <v>-20475</v>
      </c>
      <c r="F124" s="1012" t="s">
        <v>293</v>
      </c>
      <c r="G124" s="1012" t="s">
        <v>2106</v>
      </c>
      <c r="H124" s="948"/>
      <c r="I124" s="947"/>
      <c r="J124" s="947"/>
      <c r="K124" s="947"/>
      <c r="L124" s="153" t="str">
        <f t="shared" si="0"/>
        <v>1584</v>
      </c>
      <c r="M124" s="154" t="str">
        <f t="shared" si="1"/>
        <v>FPA TAXES AFFAIRES</v>
      </c>
      <c r="N124" s="155">
        <f>+IF(OR($Q124=Parametres!$G$2,$Q124=Parametres!$G$3),I124,C124)</f>
        <v>-17550</v>
      </c>
      <c r="O124" s="155">
        <f>+IF(OR($Q124=Parametres!$G$2,$Q124=Parametres!$G$3),J124,D124)</f>
        <v>-2925</v>
      </c>
      <c r="P124" s="155">
        <f>+IF(OR($Q124=Parametres!$G$2,$Q124=Parametres!$G$3),K124,E124)</f>
        <v>-20475</v>
      </c>
      <c r="Q124" s="154" t="str">
        <f t="shared" si="9"/>
        <v>2-Actifs</v>
      </c>
      <c r="R124" s="153" t="str">
        <f t="shared" si="9"/>
        <v>1500</v>
      </c>
      <c r="S124" s="154">
        <f t="shared" si="9"/>
        <v>0</v>
      </c>
      <c r="T124" s="156" t="str">
        <f>+VLOOKUP($L124,Data_Validation!$A:$D,1,0)</f>
        <v>1584</v>
      </c>
      <c r="U124" s="156" t="str">
        <f>+VLOOKUP($L124,Data_Validation!$A:$D,3,0)</f>
        <v>Bilan</v>
      </c>
      <c r="V124" s="156" t="str">
        <f>+VLOOKUP($L124,Data_Validation!$A:$D,4,0)</f>
        <v>Frais Payés d'Avance</v>
      </c>
      <c r="W124" s="156" t="str">
        <f>+VLOOKUP($L124,Data_Validation!$A:$E,5,0)</f>
        <v>$</v>
      </c>
      <c r="X124" s="156">
        <f>+VLOOKUP($L124,Data_Validation!$A:$F,6,0)</f>
        <v>0</v>
      </c>
    </row>
    <row r="125" spans="1:24" ht="15" hidden="1" customHeight="1">
      <c r="A125" s="1012" t="s">
        <v>2177</v>
      </c>
      <c r="B125" s="1012" t="s">
        <v>2178</v>
      </c>
      <c r="C125" s="1014">
        <v>-1908.27</v>
      </c>
      <c r="D125" s="1014">
        <v>-650</v>
      </c>
      <c r="E125" s="1014">
        <v>-2558.27</v>
      </c>
      <c r="F125" s="1012" t="s">
        <v>293</v>
      </c>
      <c r="G125" s="1012" t="s">
        <v>2106</v>
      </c>
      <c r="H125" s="948"/>
      <c r="I125" s="947"/>
      <c r="J125" s="947"/>
      <c r="K125" s="947"/>
      <c r="L125" s="153" t="str">
        <f t="shared" si="0"/>
        <v>1586</v>
      </c>
      <c r="M125" s="154" t="str">
        <f t="shared" si="1"/>
        <v>FPA TAXES SCOLAIRES</v>
      </c>
      <c r="N125" s="155">
        <f>+IF(OR($Q125=Parametres!$G$2,$Q125=Parametres!$G$3),I125,C125)</f>
        <v>-1908.27</v>
      </c>
      <c r="O125" s="575">
        <f>+IF(OR($Q125=Parametres!$G$2,$Q125=Parametres!$G$3),J125,D125)</f>
        <v>-650</v>
      </c>
      <c r="P125" s="155">
        <f>+IF(OR($Q125=Parametres!$G$2,$Q125=Parametres!$G$3),K125,E125)</f>
        <v>-2558.27</v>
      </c>
      <c r="Q125" s="154" t="str">
        <f t="shared" si="9"/>
        <v>2-Actifs</v>
      </c>
      <c r="R125" s="153" t="str">
        <f t="shared" si="9"/>
        <v>1500</v>
      </c>
      <c r="S125" s="154">
        <f t="shared" si="9"/>
        <v>0</v>
      </c>
      <c r="T125" s="156" t="str">
        <f>+VLOOKUP($L125,Data_Validation!$A:$D,1,0)</f>
        <v>1586</v>
      </c>
      <c r="U125" s="156" t="str">
        <f>+VLOOKUP($L125,Data_Validation!$A:$D,3,0)</f>
        <v>Bilan</v>
      </c>
      <c r="V125" s="156" t="str">
        <f>+VLOOKUP($L125,Data_Validation!$A:$D,4,0)</f>
        <v>Frais Payés d'Avance</v>
      </c>
      <c r="W125" s="156" t="str">
        <f>+VLOOKUP($L125,Data_Validation!$A:$E,5,0)</f>
        <v>$</v>
      </c>
      <c r="X125" s="156">
        <f>+VLOOKUP($L125,Data_Validation!$A:$F,6,0)</f>
        <v>0</v>
      </c>
    </row>
    <row r="126" spans="1:24" ht="15" hidden="1" customHeight="1">
      <c r="A126" s="1012" t="s">
        <v>2803</v>
      </c>
      <c r="B126" s="1012" t="s">
        <v>2804</v>
      </c>
      <c r="C126" s="1014">
        <v>100818.65</v>
      </c>
      <c r="D126" s="1014">
        <v>2327.6799999999998</v>
      </c>
      <c r="E126" s="1014">
        <v>103146.33</v>
      </c>
      <c r="F126" s="1012" t="s">
        <v>293</v>
      </c>
      <c r="G126" s="1012" t="s">
        <v>2106</v>
      </c>
      <c r="H126" s="948"/>
      <c r="I126" s="947"/>
      <c r="J126" s="947"/>
      <c r="K126" s="947"/>
      <c r="L126" s="153" t="str">
        <f t="shared" si="0"/>
        <v>1592</v>
      </c>
      <c r="M126" s="154" t="str">
        <f t="shared" si="1"/>
        <v>FPA AUTRES</v>
      </c>
      <c r="N126" s="155">
        <f>+IF(OR($Q126=Parametres!$G$2,$Q126=Parametres!$G$3),I126,C126)</f>
        <v>100818.65</v>
      </c>
      <c r="O126" s="575">
        <f>+IF(OR($Q126=Parametres!$G$2,$Q126=Parametres!$G$3),J126,D126)</f>
        <v>2327.6799999999998</v>
      </c>
      <c r="P126" s="155">
        <f>+IF(OR($Q126=Parametres!$G$2,$Q126=Parametres!$G$3),K126,E126)</f>
        <v>103146.33</v>
      </c>
      <c r="Q126" s="154" t="str">
        <f t="shared" si="9"/>
        <v>2-Actifs</v>
      </c>
      <c r="R126" s="153" t="str">
        <f t="shared" si="9"/>
        <v>1500</v>
      </c>
      <c r="S126" s="154">
        <f t="shared" si="9"/>
        <v>0</v>
      </c>
      <c r="T126" s="156" t="str">
        <f>+VLOOKUP($L126,Data_Validation!$A:$D,1,0)</f>
        <v>1592</v>
      </c>
      <c r="U126" s="156" t="str">
        <f>+VLOOKUP($L126,Data_Validation!$A:$D,3,0)</f>
        <v>Bilan</v>
      </c>
      <c r="V126" s="156" t="str">
        <f>+VLOOKUP($L126,Data_Validation!$A:$D,4,0)</f>
        <v>Frais Payés d'Avance</v>
      </c>
      <c r="W126" s="156" t="str">
        <f>+VLOOKUP($L126,Data_Validation!$A:$E,5,0)</f>
        <v>$</v>
      </c>
      <c r="X126" s="156">
        <f>+VLOOKUP($L126,Data_Validation!$A:$F,6,0)</f>
        <v>0</v>
      </c>
    </row>
    <row r="127" spans="1:24" ht="15" hidden="1" customHeight="1">
      <c r="A127" s="1012" t="s">
        <v>478</v>
      </c>
      <c r="B127" s="1012" t="s">
        <v>2129</v>
      </c>
      <c r="C127" s="1014">
        <v>-14511.79</v>
      </c>
      <c r="D127" s="1014">
        <v>-4520.46</v>
      </c>
      <c r="E127" s="1014">
        <v>-19032.25</v>
      </c>
      <c r="F127" s="1012" t="s">
        <v>293</v>
      </c>
      <c r="G127" s="1012" t="s">
        <v>2106</v>
      </c>
      <c r="H127" s="948"/>
      <c r="I127" s="947"/>
      <c r="J127" s="947"/>
      <c r="K127" s="947"/>
      <c r="L127" s="153" t="str">
        <f t="shared" si="0"/>
        <v>1593</v>
      </c>
      <c r="M127" s="154" t="str">
        <f t="shared" si="1"/>
        <v>FRAIS REPAS ET REPRESENTATION 50%</v>
      </c>
      <c r="N127" s="155">
        <f>+IF(OR($Q127=Parametres!$G$2,$Q127=Parametres!$G$3),I127,C127)</f>
        <v>-14511.79</v>
      </c>
      <c r="O127" s="155">
        <f>+IF(OR($Q127=Parametres!$G$2,$Q127=Parametres!$G$3),J127,D127)</f>
        <v>-4520.46</v>
      </c>
      <c r="P127" s="155">
        <f>+IF(OR($Q127=Parametres!$G$2,$Q127=Parametres!$G$3),K127,E127)</f>
        <v>-19032.25</v>
      </c>
      <c r="Q127" s="154" t="str">
        <f t="shared" si="9"/>
        <v>2-Actifs</v>
      </c>
      <c r="R127" s="153" t="str">
        <f t="shared" si="9"/>
        <v>1500</v>
      </c>
      <c r="S127" s="154">
        <f t="shared" si="9"/>
        <v>0</v>
      </c>
      <c r="T127" s="156" t="str">
        <f>+VLOOKUP($L127,Data_Validation!$A:$D,1,0)</f>
        <v>1593</v>
      </c>
      <c r="U127" s="156" t="str">
        <f>+VLOOKUP($L127,Data_Validation!$A:$D,3,0)</f>
        <v>Bilan</v>
      </c>
      <c r="V127" s="156" t="str">
        <f>+VLOOKUP($L127,Data_Validation!$A:$D,4,0)</f>
        <v>Frais Payés d'Avance</v>
      </c>
      <c r="W127" s="156" t="str">
        <f>+VLOOKUP($L127,Data_Validation!$A:$E,5,0)</f>
        <v>$</v>
      </c>
      <c r="X127" s="156">
        <f>+VLOOKUP($L127,Data_Validation!$A:$F,6,0)</f>
        <v>0</v>
      </c>
    </row>
    <row r="128" spans="1:24" ht="15" hidden="1" customHeight="1">
      <c r="A128" s="1012" t="s">
        <v>2576</v>
      </c>
      <c r="B128" s="1012" t="s">
        <v>2577</v>
      </c>
      <c r="C128" s="1014">
        <v>4005.9</v>
      </c>
      <c r="D128" s="1014">
        <v>567.91</v>
      </c>
      <c r="E128" s="1014">
        <v>4573.8100000000004</v>
      </c>
      <c r="F128" s="1012" t="s">
        <v>293</v>
      </c>
      <c r="G128" s="1012" t="s">
        <v>2106</v>
      </c>
      <c r="H128" s="948"/>
      <c r="I128" s="947"/>
      <c r="J128" s="947"/>
      <c r="K128" s="947"/>
      <c r="L128" s="153" t="str">
        <f t="shared" si="0"/>
        <v>1594</v>
      </c>
      <c r="M128" s="579" t="str">
        <f t="shared" si="1"/>
        <v>FRAIS VOYAGE 100%</v>
      </c>
      <c r="N128" s="155">
        <f>+IF(OR($Q128=Parametres!$G$2,$Q128=Parametres!$G$3),I128,C128)</f>
        <v>4005.9</v>
      </c>
      <c r="O128" s="580">
        <f>+IF(OR($Q128=Parametres!$G$2,$Q128=Parametres!$G$3),J128,D128)</f>
        <v>567.91</v>
      </c>
      <c r="P128" s="581">
        <f>+IF(OR($Q128=Parametres!$G$2,$Q128=Parametres!$G$3),K128,E128)</f>
        <v>4573.8100000000004</v>
      </c>
      <c r="Q128" s="154" t="str">
        <f t="shared" si="9"/>
        <v>2-Actifs</v>
      </c>
      <c r="R128" s="153" t="str">
        <f t="shared" si="9"/>
        <v>1500</v>
      </c>
      <c r="S128" s="154">
        <f t="shared" si="9"/>
        <v>0</v>
      </c>
      <c r="T128" s="156" t="str">
        <f>+VLOOKUP($L128,Data_Validation!$A:$D,1,0)</f>
        <v>1594</v>
      </c>
      <c r="U128" s="156" t="str">
        <f>+VLOOKUP($L128,Data_Validation!$A:$D,3,0)</f>
        <v>Bilan</v>
      </c>
      <c r="V128" s="156" t="str">
        <f>+VLOOKUP($L128,Data_Validation!$A:$D,4,0)</f>
        <v>Frais Payés d'Avance</v>
      </c>
      <c r="W128" s="156" t="str">
        <f>+VLOOKUP($L128,Data_Validation!$A:$E,5,0)</f>
        <v>$</v>
      </c>
      <c r="X128" s="156">
        <f>+VLOOKUP($L128,Data_Validation!$A:$F,6,0)</f>
        <v>0</v>
      </c>
    </row>
    <row r="129" spans="1:24" ht="15" hidden="1" customHeight="1">
      <c r="A129" s="1012" t="s">
        <v>2574</v>
      </c>
      <c r="B129" s="1012" t="s">
        <v>2575</v>
      </c>
      <c r="C129" s="1014">
        <v>1414.02</v>
      </c>
      <c r="D129" s="1014">
        <v>0</v>
      </c>
      <c r="E129" s="1014">
        <v>1414.02</v>
      </c>
      <c r="F129" s="1012" t="s">
        <v>293</v>
      </c>
      <c r="G129" s="1012" t="s">
        <v>2106</v>
      </c>
      <c r="H129" s="948"/>
      <c r="I129" s="947"/>
      <c r="J129" s="947"/>
      <c r="K129" s="947"/>
      <c r="L129" s="153" t="str">
        <f t="shared" si="0"/>
        <v>1595</v>
      </c>
      <c r="M129" s="154" t="str">
        <f t="shared" si="1"/>
        <v>FRAIS REP NON DEDUCTIBLE 0%</v>
      </c>
      <c r="N129" s="155">
        <f>+IF(OR($Q129=Parametres!$G$2,$Q129=Parametres!$G$3),I129,C129)</f>
        <v>1414.02</v>
      </c>
      <c r="O129" s="155">
        <f>+IF(OR($Q129=Parametres!$G$2,$Q129=Parametres!$G$3),J129,D129)</f>
        <v>0</v>
      </c>
      <c r="P129" s="155">
        <f>+IF(OR($Q129=Parametres!$G$2,$Q129=Parametres!$G$3),K129,E129)</f>
        <v>1414.02</v>
      </c>
      <c r="Q129" s="154" t="str">
        <f t="shared" si="9"/>
        <v>2-Actifs</v>
      </c>
      <c r="R129" s="153" t="str">
        <f t="shared" si="9"/>
        <v>1500</v>
      </c>
      <c r="S129" s="154">
        <f t="shared" si="9"/>
        <v>0</v>
      </c>
      <c r="T129" s="156" t="str">
        <f>+VLOOKUP($L129,Data_Validation!$A:$D,1,0)</f>
        <v>1595</v>
      </c>
      <c r="U129" s="156" t="str">
        <f>+VLOOKUP($L129,Data_Validation!$A:$D,3,0)</f>
        <v>Bilan</v>
      </c>
      <c r="V129" s="156" t="str">
        <f>+VLOOKUP($L129,Data_Validation!$A:$D,4,0)</f>
        <v>Frais Payés d'Avance</v>
      </c>
      <c r="W129" s="156" t="str">
        <f>+VLOOKUP($L129,Data_Validation!$A:$E,5,0)</f>
        <v>$</v>
      </c>
      <c r="X129" s="156">
        <f>+VLOOKUP($L129,Data_Validation!$A:$F,6,0)</f>
        <v>0</v>
      </c>
    </row>
    <row r="130" spans="1:24" ht="15" hidden="1" customHeight="1">
      <c r="A130" s="1012" t="s">
        <v>2400</v>
      </c>
      <c r="B130" s="1012" t="s">
        <v>2401</v>
      </c>
      <c r="C130" s="1014">
        <v>133189.21</v>
      </c>
      <c r="D130" s="1014">
        <v>0</v>
      </c>
      <c r="E130" s="1014">
        <v>133189.21</v>
      </c>
      <c r="F130" s="1012" t="s">
        <v>293</v>
      </c>
      <c r="G130" s="1012" t="s">
        <v>2128</v>
      </c>
      <c r="H130" s="948"/>
      <c r="I130" s="947"/>
      <c r="J130" s="947"/>
      <c r="K130" s="947"/>
      <c r="L130" s="153" t="str">
        <f t="shared" si="0"/>
        <v>1732</v>
      </c>
      <c r="M130" s="154" t="str">
        <f t="shared" si="1"/>
        <v>AMELIOR. LOCATIVES</v>
      </c>
      <c r="N130" s="155">
        <f>+IF(OR($Q130=Parametres!$G$2,$Q130=Parametres!$G$3),I130,C130)</f>
        <v>133189.21</v>
      </c>
      <c r="O130" s="155">
        <f>+IF(OR($Q130=Parametres!$G$2,$Q130=Parametres!$G$3),J130,D130)</f>
        <v>0</v>
      </c>
      <c r="P130" s="155">
        <f>+IF(OR($Q130=Parametres!$G$2,$Q130=Parametres!$G$3),K130,E130)</f>
        <v>133189.21</v>
      </c>
      <c r="Q130" s="154" t="str">
        <f t="shared" ref="Q130:S145" si="10">+F130</f>
        <v>2-Actifs</v>
      </c>
      <c r="R130" s="153" t="str">
        <f t="shared" si="10"/>
        <v>1700</v>
      </c>
      <c r="S130" s="154">
        <f t="shared" si="10"/>
        <v>0</v>
      </c>
      <c r="T130" s="156" t="str">
        <f>+VLOOKUP($L130,Data_Validation!$A:$D,1,0)</f>
        <v>1732</v>
      </c>
      <c r="U130" s="156" t="str">
        <f>+VLOOKUP($L130,Data_Validation!$A:$D,3,0)</f>
        <v>Bilan</v>
      </c>
      <c r="V130" s="156" t="str">
        <f>+VLOOKUP($L130,Data_Validation!$A:$D,4,0)</f>
        <v>Améliorations Locatives</v>
      </c>
      <c r="W130" s="156" t="str">
        <f>+VLOOKUP($L130,Data_Validation!$A:$E,5,0)</f>
        <v>$</v>
      </c>
      <c r="X130" s="156">
        <f>+VLOOKUP($L130,Data_Validation!$A:$F,6,0)</f>
        <v>0</v>
      </c>
    </row>
    <row r="131" spans="1:24" ht="15.75" hidden="1" customHeight="1">
      <c r="A131" s="1012" t="s">
        <v>2156</v>
      </c>
      <c r="B131" s="1012" t="s">
        <v>2157</v>
      </c>
      <c r="C131" s="1014">
        <v>-76822.87</v>
      </c>
      <c r="D131" s="1014">
        <v>-1730</v>
      </c>
      <c r="E131" s="1014">
        <v>-78552.87</v>
      </c>
      <c r="F131" s="1012" t="s">
        <v>293</v>
      </c>
      <c r="G131" s="1012" t="s">
        <v>2128</v>
      </c>
      <c r="H131" s="948"/>
      <c r="I131" s="947"/>
      <c r="J131" s="947"/>
      <c r="K131" s="947"/>
      <c r="L131" s="153" t="str">
        <f t="shared" si="0"/>
        <v>1733</v>
      </c>
      <c r="M131" s="154" t="str">
        <f t="shared" si="1"/>
        <v>AMORT. CUM. AMEL. LOCAT.</v>
      </c>
      <c r="N131" s="155">
        <f>+IF(OR($Q131=Parametres!$G$2,$Q131=Parametres!$G$3),I131,C131)</f>
        <v>-76822.87</v>
      </c>
      <c r="O131" s="155">
        <f>+IF(OR($Q131=Parametres!$G$2,$Q131=Parametres!$G$3),J131,D131)</f>
        <v>-1730</v>
      </c>
      <c r="P131" s="155">
        <f>+IF(OR($Q131=Parametres!$G$2,$Q131=Parametres!$G$3),K131,E131)</f>
        <v>-78552.87</v>
      </c>
      <c r="Q131" s="154" t="str">
        <f t="shared" si="10"/>
        <v>2-Actifs</v>
      </c>
      <c r="R131" s="153" t="str">
        <f t="shared" si="10"/>
        <v>1700</v>
      </c>
      <c r="S131" s="154">
        <f t="shared" si="10"/>
        <v>0</v>
      </c>
      <c r="T131" s="156" t="str">
        <f>+VLOOKUP($L131,Data_Validation!$A:$D,1,0)</f>
        <v>1733</v>
      </c>
      <c r="U131" s="156" t="str">
        <f>+VLOOKUP($L131,Data_Validation!$A:$D,3,0)</f>
        <v>Bilan</v>
      </c>
      <c r="V131" s="156" t="str">
        <f>+VLOOKUP($L131,Data_Validation!$A:$D,4,0)</f>
        <v>Améliorations Locatives</v>
      </c>
      <c r="W131" s="156" t="str">
        <f>+VLOOKUP($L131,Data_Validation!$A:$E,5,0)</f>
        <v>$</v>
      </c>
      <c r="X131" s="156">
        <f>+VLOOKUP($L131,Data_Validation!$A:$F,6,0)</f>
        <v>0</v>
      </c>
    </row>
    <row r="132" spans="1:24" ht="15" hidden="1" customHeight="1">
      <c r="A132" s="1012" t="s">
        <v>2402</v>
      </c>
      <c r="B132" s="1012" t="s">
        <v>2403</v>
      </c>
      <c r="C132" s="1014">
        <v>867202.23</v>
      </c>
      <c r="D132" s="1014">
        <v>0</v>
      </c>
      <c r="E132" s="1014">
        <v>867202.23</v>
      </c>
      <c r="F132" s="1012" t="s">
        <v>293</v>
      </c>
      <c r="G132" s="1012" t="s">
        <v>2128</v>
      </c>
      <c r="H132" s="948"/>
      <c r="I132" s="947"/>
      <c r="J132" s="947"/>
      <c r="K132" s="947"/>
      <c r="L132" s="153" t="str">
        <f t="shared" si="0"/>
        <v>1742</v>
      </c>
      <c r="M132" s="154" t="str">
        <f t="shared" si="1"/>
        <v>MACHINERIE &amp; EQUIPEMENT</v>
      </c>
      <c r="N132" s="155">
        <f>+IF(OR($Q132=Parametres!$G$2,$Q132=Parametres!$G$3),I132,C132)</f>
        <v>867202.23</v>
      </c>
      <c r="O132" s="155">
        <f>+IF(OR($Q132=Parametres!$G$2,$Q132=Parametres!$G$3),J132,D132)</f>
        <v>0</v>
      </c>
      <c r="P132" s="155">
        <f>+IF(OR($Q132=Parametres!$G$2,$Q132=Parametres!$G$3),K132,E132)</f>
        <v>867202.23</v>
      </c>
      <c r="Q132" s="154" t="str">
        <f t="shared" si="10"/>
        <v>2-Actifs</v>
      </c>
      <c r="R132" s="153" t="str">
        <f t="shared" si="10"/>
        <v>1700</v>
      </c>
      <c r="S132" s="154">
        <f t="shared" si="10"/>
        <v>0</v>
      </c>
      <c r="T132" s="156" t="str">
        <f>+VLOOKUP($L132,Data_Validation!$A:$D,1,0)</f>
        <v>1742</v>
      </c>
      <c r="U132" s="156" t="str">
        <f>+VLOOKUP($L132,Data_Validation!$A:$D,3,0)</f>
        <v>Bilan</v>
      </c>
      <c r="V132" s="156" t="str">
        <f>+VLOOKUP($L132,Data_Validation!$A:$D,4,0)</f>
        <v>Équipements Service</v>
      </c>
      <c r="W132" s="156" t="str">
        <f>+VLOOKUP($L132,Data_Validation!$A:$E,5,0)</f>
        <v>$</v>
      </c>
      <c r="X132" s="156">
        <f>+VLOOKUP($L132,Data_Validation!$A:$F,6,0)</f>
        <v>0</v>
      </c>
    </row>
    <row r="133" spans="1:24" ht="15" hidden="1" customHeight="1">
      <c r="A133" s="1012" t="s">
        <v>2126</v>
      </c>
      <c r="B133" s="1012" t="s">
        <v>2127</v>
      </c>
      <c r="C133" s="1014">
        <v>-695020.53</v>
      </c>
      <c r="D133" s="1014">
        <v>-4067</v>
      </c>
      <c r="E133" s="1014">
        <v>-699087.53</v>
      </c>
      <c r="F133" s="1012" t="s">
        <v>293</v>
      </c>
      <c r="G133" s="1012" t="s">
        <v>2128</v>
      </c>
      <c r="H133" s="948"/>
      <c r="I133" s="947"/>
      <c r="J133" s="947"/>
      <c r="K133" s="947"/>
      <c r="L133" s="153" t="str">
        <f t="shared" si="0"/>
        <v>1743</v>
      </c>
      <c r="M133" s="154" t="str">
        <f t="shared" si="1"/>
        <v>AMORTISS.MACHINERIE &amp; EQUIP.</v>
      </c>
      <c r="N133" s="155">
        <f>+IF(OR($Q133=Parametres!$G$2,$Q133=Parametres!$G$3),I133,C133)</f>
        <v>-695020.53</v>
      </c>
      <c r="O133" s="155">
        <f>+IF(OR($Q133=Parametres!$G$2,$Q133=Parametres!$G$3),J133,D133)</f>
        <v>-4067</v>
      </c>
      <c r="P133" s="155">
        <f>+IF(OR($Q133=Parametres!$G$2,$Q133=Parametres!$G$3),K133,E133)</f>
        <v>-699087.53</v>
      </c>
      <c r="Q133" s="154" t="str">
        <f t="shared" si="10"/>
        <v>2-Actifs</v>
      </c>
      <c r="R133" s="153" t="str">
        <f t="shared" si="10"/>
        <v>1700</v>
      </c>
      <c r="S133" s="154">
        <f t="shared" si="10"/>
        <v>0</v>
      </c>
      <c r="T133" s="156" t="str">
        <f>+VLOOKUP($L133,Data_Validation!$A:$D,1,0)</f>
        <v>1743</v>
      </c>
      <c r="U133" s="156" t="str">
        <f>+VLOOKUP($L133,Data_Validation!$A:$D,3,0)</f>
        <v>Bilan</v>
      </c>
      <c r="V133" s="156" t="str">
        <f>+VLOOKUP($L133,Data_Validation!$A:$D,4,0)</f>
        <v>Équipements Service</v>
      </c>
      <c r="W133" s="156" t="str">
        <f>+VLOOKUP($L133,Data_Validation!$A:$E,5,0)</f>
        <v>$</v>
      </c>
      <c r="X133" s="156">
        <f>+VLOOKUP($L133,Data_Validation!$A:$F,6,0)</f>
        <v>0</v>
      </c>
    </row>
    <row r="134" spans="1:24" ht="15" hidden="1" customHeight="1">
      <c r="A134" s="1012" t="s">
        <v>2404</v>
      </c>
      <c r="B134" s="1012" t="s">
        <v>2405</v>
      </c>
      <c r="C134" s="1014">
        <v>47461.59</v>
      </c>
      <c r="D134" s="1014">
        <v>0</v>
      </c>
      <c r="E134" s="1014">
        <v>47461.59</v>
      </c>
      <c r="F134" s="1012" t="s">
        <v>293</v>
      </c>
      <c r="G134" s="1012" t="s">
        <v>2128</v>
      </c>
      <c r="H134" s="948"/>
      <c r="I134" s="947"/>
      <c r="J134" s="947"/>
      <c r="K134" s="947"/>
      <c r="L134" s="153" t="str">
        <f t="shared" si="0"/>
        <v>1744</v>
      </c>
      <c r="M134" s="154" t="str">
        <f t="shared" si="1"/>
        <v>EQUIPEMENT PIECES</v>
      </c>
      <c r="N134" s="155">
        <f>+IF(OR($Q134=Parametres!$G$2,$Q134=Parametres!$G$3),I134,C134)</f>
        <v>47461.59</v>
      </c>
      <c r="O134" s="155">
        <f>+IF(OR($Q134=Parametres!$G$2,$Q134=Parametres!$G$3),J134,D134)</f>
        <v>0</v>
      </c>
      <c r="P134" s="155">
        <f>+IF(OR($Q134=Parametres!$G$2,$Q134=Parametres!$G$3),K134,E134)</f>
        <v>47461.59</v>
      </c>
      <c r="Q134" s="154" t="str">
        <f t="shared" si="10"/>
        <v>2-Actifs</v>
      </c>
      <c r="R134" s="153" t="str">
        <f t="shared" si="10"/>
        <v>1700</v>
      </c>
      <c r="S134" s="154">
        <f t="shared" si="10"/>
        <v>0</v>
      </c>
      <c r="T134" s="156" t="str">
        <f>+VLOOKUP($L134,Data_Validation!$A:$D,1,0)</f>
        <v>1744</v>
      </c>
      <c r="U134" s="156" t="str">
        <f>+VLOOKUP($L134,Data_Validation!$A:$D,3,0)</f>
        <v>Bilan</v>
      </c>
      <c r="V134" s="156" t="str">
        <f>+VLOOKUP($L134,Data_Validation!$A:$D,4,0)</f>
        <v>Équipements Service</v>
      </c>
      <c r="W134" s="156" t="str">
        <f>+VLOOKUP($L134,Data_Validation!$A:$E,5,0)</f>
        <v>$</v>
      </c>
      <c r="X134" s="156">
        <f>+VLOOKUP($L134,Data_Validation!$A:$F,6,0)</f>
        <v>0</v>
      </c>
    </row>
    <row r="135" spans="1:24" ht="15.75" hidden="1" customHeight="1">
      <c r="A135" s="1012" t="s">
        <v>2197</v>
      </c>
      <c r="B135" s="1012" t="s">
        <v>2198</v>
      </c>
      <c r="C135" s="1014">
        <v>-46017.66</v>
      </c>
      <c r="D135" s="1014">
        <v>-180</v>
      </c>
      <c r="E135" s="1014">
        <v>-46197.66</v>
      </c>
      <c r="F135" s="1012" t="s">
        <v>293</v>
      </c>
      <c r="G135" s="1012" t="s">
        <v>2128</v>
      </c>
      <c r="H135" s="948"/>
      <c r="I135" s="947"/>
      <c r="J135" s="947"/>
      <c r="K135" s="947"/>
      <c r="L135" s="153" t="str">
        <f t="shared" si="0"/>
        <v>1745</v>
      </c>
      <c r="M135" s="154" t="str">
        <f t="shared" si="1"/>
        <v>AMORTISS.EQUIPEMENTS PIECES</v>
      </c>
      <c r="N135" s="155">
        <f>+IF(OR($Q135=Parametres!$G$2,$Q135=Parametres!$G$3),I135,C135)</f>
        <v>-46017.66</v>
      </c>
      <c r="O135" s="155">
        <f>+IF(OR($Q135=Parametres!$G$2,$Q135=Parametres!$G$3),J135,D135)</f>
        <v>-180</v>
      </c>
      <c r="P135" s="155">
        <f>+IF(OR($Q135=Parametres!$G$2,$Q135=Parametres!$G$3),K135,E135)</f>
        <v>-46197.66</v>
      </c>
      <c r="Q135" s="154" t="str">
        <f t="shared" si="10"/>
        <v>2-Actifs</v>
      </c>
      <c r="R135" s="153" t="str">
        <f t="shared" si="10"/>
        <v>1700</v>
      </c>
      <c r="S135" s="154">
        <f t="shared" si="10"/>
        <v>0</v>
      </c>
      <c r="T135" s="156" t="str">
        <f>+VLOOKUP($L135,Data_Validation!$A:$D,1,0)</f>
        <v>1745</v>
      </c>
      <c r="U135" s="156" t="str">
        <f>+VLOOKUP($L135,Data_Validation!$A:$D,3,0)</f>
        <v>Bilan</v>
      </c>
      <c r="V135" s="156" t="str">
        <f>+VLOOKUP($L135,Data_Validation!$A:$D,4,0)</f>
        <v>Équipements Service</v>
      </c>
      <c r="W135" s="156" t="str">
        <f>+VLOOKUP($L135,Data_Validation!$A:$E,5,0)</f>
        <v>$</v>
      </c>
      <c r="X135" s="156">
        <f>+VLOOKUP($L135,Data_Validation!$A:$F,6,0)</f>
        <v>0</v>
      </c>
    </row>
    <row r="136" spans="1:24" ht="15" hidden="1" customHeight="1">
      <c r="A136" s="1012" t="s">
        <v>2406</v>
      </c>
      <c r="B136" s="1012" t="s">
        <v>2407</v>
      </c>
      <c r="C136" s="1014">
        <v>155280.23000000001</v>
      </c>
      <c r="D136" s="1014">
        <v>0</v>
      </c>
      <c r="E136" s="1014">
        <v>155280.23000000001</v>
      </c>
      <c r="F136" s="1012" t="s">
        <v>293</v>
      </c>
      <c r="G136" s="1012" t="s">
        <v>2128</v>
      </c>
      <c r="H136" s="948"/>
      <c r="I136" s="947"/>
      <c r="J136" s="947"/>
      <c r="K136" s="947"/>
      <c r="L136" s="153" t="str">
        <f t="shared" si="0"/>
        <v>1760</v>
      </c>
      <c r="M136" s="154" t="str">
        <f t="shared" si="1"/>
        <v>EQUIPEMENT TELEPHONIQUE</v>
      </c>
      <c r="N136" s="155">
        <f>+IF(OR($Q136=Parametres!$G$2,$Q136=Parametres!$G$3),I136,C136)</f>
        <v>155280.23000000001</v>
      </c>
      <c r="O136" s="155">
        <f>+IF(OR($Q136=Parametres!$G$2,$Q136=Parametres!$G$3),J136,D136)</f>
        <v>0</v>
      </c>
      <c r="P136" s="155">
        <f>+IF(OR($Q136=Parametres!$G$2,$Q136=Parametres!$G$3),K136,E136)</f>
        <v>155280.23000000001</v>
      </c>
      <c r="Q136" s="154" t="str">
        <f t="shared" si="10"/>
        <v>2-Actifs</v>
      </c>
      <c r="R136" s="153" t="str">
        <f t="shared" si="10"/>
        <v>1700</v>
      </c>
      <c r="S136" s="154">
        <f t="shared" si="10"/>
        <v>0</v>
      </c>
      <c r="T136" s="156" t="str">
        <f>+VLOOKUP($L136,Data_Validation!$A:$D,1,0)</f>
        <v>1760</v>
      </c>
      <c r="U136" s="156" t="str">
        <f>+VLOOKUP($L136,Data_Validation!$A:$D,3,0)</f>
        <v>Bilan</v>
      </c>
      <c r="V136" s="156" t="str">
        <f>+VLOOKUP($L136,Data_Validation!$A:$D,4,0)</f>
        <v>Équipements Téléphonique</v>
      </c>
      <c r="W136" s="156" t="str">
        <f>+VLOOKUP($L136,Data_Validation!$A:$E,5,0)</f>
        <v>$</v>
      </c>
      <c r="X136" s="156">
        <f>+VLOOKUP($L136,Data_Validation!$A:$F,6,0)</f>
        <v>0</v>
      </c>
    </row>
    <row r="137" spans="1:24" ht="15" hidden="1" customHeight="1">
      <c r="A137" s="1012" t="s">
        <v>2570</v>
      </c>
      <c r="B137" s="1012" t="s">
        <v>2571</v>
      </c>
      <c r="C137" s="1014">
        <v>-149957.57</v>
      </c>
      <c r="D137" s="1014">
        <v>20</v>
      </c>
      <c r="E137" s="1014">
        <v>-149937.57</v>
      </c>
      <c r="F137" s="1012" t="s">
        <v>293</v>
      </c>
      <c r="G137" s="1012" t="s">
        <v>2128</v>
      </c>
      <c r="H137" s="948"/>
      <c r="I137" s="947"/>
      <c r="J137" s="947"/>
      <c r="K137" s="947"/>
      <c r="L137" s="153" t="str">
        <f t="shared" si="0"/>
        <v>1761</v>
      </c>
      <c r="M137" s="154" t="str">
        <f t="shared" si="1"/>
        <v>AMORTISS.EQUIP.TELEPHONIQUES</v>
      </c>
      <c r="N137" s="155">
        <f>+IF(OR($Q137=Parametres!$G$2,$Q137=Parametres!$G$3),I137,C137)</f>
        <v>-149957.57</v>
      </c>
      <c r="O137" s="155">
        <f>+IF(OR($Q137=Parametres!$G$2,$Q137=Parametres!$G$3),J137,D137)</f>
        <v>20</v>
      </c>
      <c r="P137" s="155">
        <f>+IF(OR($Q137=Parametres!$G$2,$Q137=Parametres!$G$3),K137,E137)</f>
        <v>-149937.57</v>
      </c>
      <c r="Q137" s="154" t="str">
        <f t="shared" si="10"/>
        <v>2-Actifs</v>
      </c>
      <c r="R137" s="153" t="str">
        <f t="shared" si="10"/>
        <v>1700</v>
      </c>
      <c r="S137" s="154">
        <f t="shared" si="10"/>
        <v>0</v>
      </c>
      <c r="T137" s="156" t="str">
        <f>+VLOOKUP($L137,Data_Validation!$A:$D,1,0)</f>
        <v>1761</v>
      </c>
      <c r="U137" s="156" t="str">
        <f>+VLOOKUP($L137,Data_Validation!$A:$D,3,0)</f>
        <v>Bilan</v>
      </c>
      <c r="V137" s="156" t="str">
        <f>+VLOOKUP($L137,Data_Validation!$A:$D,4,0)</f>
        <v>Équipements Téléphonique</v>
      </c>
      <c r="W137" s="156" t="str">
        <f>+VLOOKUP($L137,Data_Validation!$A:$E,5,0)</f>
        <v>$</v>
      </c>
      <c r="X137" s="156">
        <f>+VLOOKUP($L137,Data_Validation!$A:$F,6,0)</f>
        <v>0</v>
      </c>
    </row>
    <row r="138" spans="1:24" ht="15" hidden="1" customHeight="1">
      <c r="A138" s="1012" t="s">
        <v>2408</v>
      </c>
      <c r="B138" s="1012" t="s">
        <v>2409</v>
      </c>
      <c r="C138" s="1014">
        <v>432661.54</v>
      </c>
      <c r="D138" s="1014">
        <v>0</v>
      </c>
      <c r="E138" s="1014">
        <v>432661.54</v>
      </c>
      <c r="F138" s="1012" t="s">
        <v>293</v>
      </c>
      <c r="G138" s="1012" t="s">
        <v>2128</v>
      </c>
      <c r="H138" s="948"/>
      <c r="I138" s="947"/>
      <c r="J138" s="947"/>
      <c r="K138" s="947"/>
      <c r="L138" s="153" t="str">
        <f t="shared" si="0"/>
        <v>1762</v>
      </c>
      <c r="M138" s="154" t="str">
        <f t="shared" si="1"/>
        <v>AMEUBLEMENT &amp; INSTR.</v>
      </c>
      <c r="N138" s="155">
        <f>+IF(OR($Q138=Parametres!$G$2,$Q138=Parametres!$G$3),I138,C138)</f>
        <v>432661.54</v>
      </c>
      <c r="O138" s="155">
        <f>+IF(OR($Q138=Parametres!$G$2,$Q138=Parametres!$G$3),J138,D138)</f>
        <v>0</v>
      </c>
      <c r="P138" s="155">
        <f>+IF(OR($Q138=Parametres!$G$2,$Q138=Parametres!$G$3),K138,E138)</f>
        <v>432661.54</v>
      </c>
      <c r="Q138" s="154" t="str">
        <f t="shared" si="10"/>
        <v>2-Actifs</v>
      </c>
      <c r="R138" s="153" t="str">
        <f t="shared" si="10"/>
        <v>1700</v>
      </c>
      <c r="S138" s="154">
        <f t="shared" si="10"/>
        <v>0</v>
      </c>
      <c r="T138" s="156" t="str">
        <f>+VLOOKUP($L138,Data_Validation!$A:$D,1,0)</f>
        <v>1762</v>
      </c>
      <c r="U138" s="156" t="str">
        <f>+VLOOKUP($L138,Data_Validation!$A:$D,3,0)</f>
        <v>Bilan</v>
      </c>
      <c r="V138" s="156" t="str">
        <f>+VLOOKUP($L138,Data_Validation!$A:$D,4,0)</f>
        <v>Mobilier</v>
      </c>
      <c r="W138" s="156" t="str">
        <f>+VLOOKUP($L138,Data_Validation!$A:$E,5,0)</f>
        <v>$</v>
      </c>
      <c r="X138" s="156">
        <f>+VLOOKUP($L138,Data_Validation!$A:$F,6,0)</f>
        <v>0</v>
      </c>
    </row>
    <row r="139" spans="1:24" ht="15.75" hidden="1" customHeight="1">
      <c r="A139" s="1012" t="s">
        <v>2163</v>
      </c>
      <c r="B139" s="1012" t="s">
        <v>2164</v>
      </c>
      <c r="C139" s="1014">
        <v>-381058.12</v>
      </c>
      <c r="D139" s="1014">
        <v>-1250</v>
      </c>
      <c r="E139" s="1014">
        <v>-382308.12</v>
      </c>
      <c r="F139" s="1012" t="s">
        <v>293</v>
      </c>
      <c r="G139" s="1012" t="s">
        <v>2128</v>
      </c>
      <c r="H139" s="948"/>
      <c r="I139" s="947"/>
      <c r="J139" s="947"/>
      <c r="K139" s="947"/>
      <c r="L139" s="153" t="str">
        <f t="shared" si="0"/>
        <v>1763</v>
      </c>
      <c r="M139" s="154" t="str">
        <f t="shared" si="1"/>
        <v>AMORTISS.AMEUBL.INSTR.</v>
      </c>
      <c r="N139" s="155">
        <f>+IF(OR($Q139=Parametres!$G$2,$Q139=Parametres!$G$3),I139,C139)</f>
        <v>-381058.12</v>
      </c>
      <c r="O139" s="155">
        <f>+IF(OR($Q139=Parametres!$G$2,$Q139=Parametres!$G$3),J139,D139)</f>
        <v>-1250</v>
      </c>
      <c r="P139" s="155">
        <f>+IF(OR($Q139=Parametres!$G$2,$Q139=Parametres!$G$3),K139,E139)</f>
        <v>-382308.12</v>
      </c>
      <c r="Q139" s="154" t="str">
        <f t="shared" si="10"/>
        <v>2-Actifs</v>
      </c>
      <c r="R139" s="153" t="str">
        <f t="shared" si="10"/>
        <v>1700</v>
      </c>
      <c r="S139" s="154">
        <f t="shared" si="10"/>
        <v>0</v>
      </c>
      <c r="T139" s="156" t="str">
        <f>+VLOOKUP($L139,Data_Validation!$A:$D,1,0)</f>
        <v>1763</v>
      </c>
      <c r="U139" s="156" t="str">
        <f>+VLOOKUP($L139,Data_Validation!$A:$D,3,0)</f>
        <v>Bilan</v>
      </c>
      <c r="V139" s="156" t="str">
        <f>+VLOOKUP($L139,Data_Validation!$A:$D,4,0)</f>
        <v>Mobilier</v>
      </c>
      <c r="W139" s="156" t="str">
        <f>+VLOOKUP($L139,Data_Validation!$A:$E,5,0)</f>
        <v>$</v>
      </c>
      <c r="X139" s="156">
        <f>+VLOOKUP($L139,Data_Validation!$A:$F,6,0)</f>
        <v>0</v>
      </c>
    </row>
    <row r="140" spans="1:24" ht="15" hidden="1" customHeight="1">
      <c r="A140" s="1012" t="s">
        <v>2410</v>
      </c>
      <c r="B140" s="1012" t="s">
        <v>2411</v>
      </c>
      <c r="C140" s="1014">
        <v>3987.88</v>
      </c>
      <c r="D140" s="1014">
        <v>0</v>
      </c>
      <c r="E140" s="1014">
        <v>3987.88</v>
      </c>
      <c r="F140" s="1012" t="s">
        <v>293</v>
      </c>
      <c r="G140" s="1012" t="s">
        <v>2128</v>
      </c>
      <c r="H140" s="948"/>
      <c r="I140" s="947"/>
      <c r="J140" s="947"/>
      <c r="K140" s="947"/>
      <c r="L140" s="153" t="str">
        <f t="shared" si="0"/>
        <v>1772</v>
      </c>
      <c r="M140" s="154" t="str">
        <f t="shared" si="1"/>
        <v>VEHICULES DE CIE</v>
      </c>
      <c r="N140" s="155">
        <f>+IF(OR($Q140=Parametres!$G$2,$Q140=Parametres!$G$3),I140,C140)</f>
        <v>3987.88</v>
      </c>
      <c r="O140" s="155">
        <f>+IF(OR($Q140=Parametres!$G$2,$Q140=Parametres!$G$3),J140,D140)</f>
        <v>0</v>
      </c>
      <c r="P140" s="155">
        <f>+IF(OR($Q140=Parametres!$G$2,$Q140=Parametres!$G$3),K140,E140)</f>
        <v>3987.88</v>
      </c>
      <c r="Q140" s="154" t="str">
        <f t="shared" si="10"/>
        <v>2-Actifs</v>
      </c>
      <c r="R140" s="153" t="str">
        <f t="shared" si="10"/>
        <v>1700</v>
      </c>
      <c r="S140" s="154">
        <f t="shared" si="10"/>
        <v>0</v>
      </c>
      <c r="T140" s="156" t="str">
        <f>+VLOOKUP($L140,Data_Validation!$A:$D,1,0)</f>
        <v>1772</v>
      </c>
      <c r="U140" s="156" t="str">
        <f>+VLOOKUP($L140,Data_Validation!$A:$D,3,0)</f>
        <v>Bilan</v>
      </c>
      <c r="V140" s="156" t="str">
        <f>+VLOOKUP($L140,Data_Validation!$A:$D,4,0)</f>
        <v>Équipements Service</v>
      </c>
      <c r="W140" s="156" t="str">
        <f>+VLOOKUP($L140,Data_Validation!$A:$E,5,0)</f>
        <v>$</v>
      </c>
      <c r="X140" s="156">
        <f>+VLOOKUP($L140,Data_Validation!$A:$F,6,0)</f>
        <v>0</v>
      </c>
    </row>
    <row r="141" spans="1:24" ht="15" hidden="1" customHeight="1">
      <c r="A141" s="1012" t="s">
        <v>2412</v>
      </c>
      <c r="B141" s="1012" t="s">
        <v>2413</v>
      </c>
      <c r="C141" s="1014">
        <v>-3987.88</v>
      </c>
      <c r="D141" s="1014">
        <v>0</v>
      </c>
      <c r="E141" s="1014">
        <v>-3987.88</v>
      </c>
      <c r="F141" s="1012" t="s">
        <v>293</v>
      </c>
      <c r="G141" s="1012" t="s">
        <v>2128</v>
      </c>
      <c r="H141" s="948"/>
      <c r="I141" s="947"/>
      <c r="J141" s="947"/>
      <c r="K141" s="947"/>
      <c r="L141" s="153" t="str">
        <f t="shared" si="0"/>
        <v>1773</v>
      </c>
      <c r="M141" s="154" t="str">
        <f t="shared" si="1"/>
        <v>DEPRECIATION &amp; AMORT.</v>
      </c>
      <c r="N141" s="155">
        <f>+IF(OR($Q141=Parametres!$G$2,$Q141=Parametres!$G$3),I141,C141)</f>
        <v>-3987.88</v>
      </c>
      <c r="O141" s="155">
        <f>+IF(OR($Q141=Parametres!$G$2,$Q141=Parametres!$G$3),J141,D141)</f>
        <v>0</v>
      </c>
      <c r="P141" s="155">
        <f>+IF(OR($Q141=Parametres!$G$2,$Q141=Parametres!$G$3),K141,E141)</f>
        <v>-3987.88</v>
      </c>
      <c r="Q141" s="154" t="str">
        <f t="shared" si="10"/>
        <v>2-Actifs</v>
      </c>
      <c r="R141" s="153" t="str">
        <f t="shared" si="10"/>
        <v>1700</v>
      </c>
      <c r="S141" s="154">
        <f t="shared" si="10"/>
        <v>0</v>
      </c>
      <c r="T141" s="156" t="str">
        <f>+VLOOKUP($L141,Data_Validation!$A:$D,1,0)</f>
        <v>1773</v>
      </c>
      <c r="U141" s="156" t="str">
        <f>+VLOOKUP($L141,Data_Validation!$A:$D,3,0)</f>
        <v>Bilan</v>
      </c>
      <c r="V141" s="156" t="str">
        <f>+VLOOKUP($L141,Data_Validation!$A:$D,4,0)</f>
        <v>Équipements Service</v>
      </c>
      <c r="W141" s="156" t="str">
        <f>+VLOOKUP($L141,Data_Validation!$A:$E,5,0)</f>
        <v>$</v>
      </c>
      <c r="X141" s="156">
        <f>+VLOOKUP($L141,Data_Validation!$A:$F,6,0)</f>
        <v>0</v>
      </c>
    </row>
    <row r="142" spans="1:24" ht="15" hidden="1" customHeight="1">
      <c r="A142" s="1012" t="s">
        <v>2568</v>
      </c>
      <c r="B142" s="1012" t="s">
        <v>2569</v>
      </c>
      <c r="C142" s="1014">
        <v>260876.49</v>
      </c>
      <c r="D142" s="1014">
        <v>0</v>
      </c>
      <c r="E142" s="1014">
        <v>260876.49</v>
      </c>
      <c r="F142" s="1012" t="s">
        <v>293</v>
      </c>
      <c r="G142" s="1012" t="s">
        <v>2128</v>
      </c>
      <c r="H142" s="948"/>
      <c r="I142" s="947"/>
      <c r="J142" s="947"/>
      <c r="K142" s="947"/>
      <c r="L142" s="153" t="str">
        <f t="shared" si="0"/>
        <v>1786</v>
      </c>
      <c r="M142" s="154" t="str">
        <f t="shared" si="1"/>
        <v>EQUIPEMENT INFORMATIQUE</v>
      </c>
      <c r="N142" s="155">
        <f>+IF(OR($Q142=Parametres!$G$2,$Q142=Parametres!$G$3),I142,C142)</f>
        <v>260876.49</v>
      </c>
      <c r="O142" s="155">
        <f>+IF(OR($Q142=Parametres!$G$2,$Q142=Parametres!$G$3),J142,D142)</f>
        <v>0</v>
      </c>
      <c r="P142" s="155">
        <f>+IF(OR($Q142=Parametres!$G$2,$Q142=Parametres!$G$3),K142,E142)</f>
        <v>260876.49</v>
      </c>
      <c r="Q142" s="154" t="str">
        <f t="shared" si="10"/>
        <v>2-Actifs</v>
      </c>
      <c r="R142" s="153" t="str">
        <f t="shared" si="10"/>
        <v>1700</v>
      </c>
      <c r="S142" s="154">
        <f t="shared" si="10"/>
        <v>0</v>
      </c>
      <c r="T142" s="156" t="str">
        <f>+VLOOKUP($L142,Data_Validation!$A:$D,1,0)</f>
        <v>1786</v>
      </c>
      <c r="U142" s="156" t="str">
        <f>+VLOOKUP($L142,Data_Validation!$A:$D,3,0)</f>
        <v>Bilan</v>
      </c>
      <c r="V142" s="156" t="str">
        <f>+VLOOKUP($L142,Data_Validation!$A:$D,4,0)</f>
        <v>Équipements Informatique</v>
      </c>
      <c r="W142" s="156" t="str">
        <f>+VLOOKUP($L142,Data_Validation!$A:$E,5,0)</f>
        <v>$</v>
      </c>
      <c r="X142" s="156">
        <f>+VLOOKUP($L142,Data_Validation!$A:$F,6,0)</f>
        <v>0</v>
      </c>
    </row>
    <row r="143" spans="1:24" ht="15.75" hidden="1" customHeight="1">
      <c r="A143" s="1012" t="s">
        <v>2154</v>
      </c>
      <c r="B143" s="1012" t="s">
        <v>2155</v>
      </c>
      <c r="C143" s="1014">
        <v>-218799.73</v>
      </c>
      <c r="D143" s="1014">
        <v>-1870</v>
      </c>
      <c r="E143" s="1014">
        <v>-220669.73</v>
      </c>
      <c r="F143" s="1012" t="s">
        <v>293</v>
      </c>
      <c r="G143" s="1012" t="s">
        <v>2128</v>
      </c>
      <c r="H143" s="948"/>
      <c r="I143" s="947"/>
      <c r="J143" s="947"/>
      <c r="K143" s="947"/>
      <c r="L143" s="153" t="str">
        <f t="shared" si="0"/>
        <v>1787</v>
      </c>
      <c r="M143" s="154" t="str">
        <f t="shared" si="1"/>
        <v>AMORTISS.EQUIP.INFORMATIQUES</v>
      </c>
      <c r="N143" s="155">
        <f>+IF(OR($Q143=Parametres!$G$2,$Q143=Parametres!$G$3),I143,C143)</f>
        <v>-218799.73</v>
      </c>
      <c r="O143" s="155">
        <f>+IF(OR($Q143=Parametres!$G$2,$Q143=Parametres!$G$3),J143,D143)</f>
        <v>-1870</v>
      </c>
      <c r="P143" s="155">
        <f>+IF(OR($Q143=Parametres!$G$2,$Q143=Parametres!$G$3),K143,E143)</f>
        <v>-220669.73</v>
      </c>
      <c r="Q143" s="154" t="str">
        <f t="shared" si="10"/>
        <v>2-Actifs</v>
      </c>
      <c r="R143" s="153" t="str">
        <f t="shared" si="10"/>
        <v>1700</v>
      </c>
      <c r="S143" s="154">
        <f t="shared" si="10"/>
        <v>0</v>
      </c>
      <c r="T143" s="156" t="str">
        <f>+VLOOKUP($L143,Data_Validation!$A:$D,1,0)</f>
        <v>1787</v>
      </c>
      <c r="U143" s="156" t="str">
        <f>+VLOOKUP($L143,Data_Validation!$A:$D,3,0)</f>
        <v>Bilan</v>
      </c>
      <c r="V143" s="156" t="str">
        <f>+VLOOKUP($L143,Data_Validation!$A:$D,4,0)</f>
        <v>Équipements Informatique</v>
      </c>
      <c r="W143" s="156" t="str">
        <f>+VLOOKUP($L143,Data_Validation!$A:$E,5,0)</f>
        <v>$</v>
      </c>
      <c r="X143" s="156">
        <f>+VLOOKUP($L143,Data_Validation!$A:$F,6,0)</f>
        <v>0</v>
      </c>
    </row>
    <row r="144" spans="1:24" ht="15" hidden="1" customHeight="1">
      <c r="A144" s="1012" t="s">
        <v>822</v>
      </c>
      <c r="B144" s="1012" t="s">
        <v>2414</v>
      </c>
      <c r="C144" s="1014">
        <v>119393.66</v>
      </c>
      <c r="D144" s="1014">
        <v>0</v>
      </c>
      <c r="E144" s="1014">
        <v>119393.66</v>
      </c>
      <c r="F144" s="1012" t="s">
        <v>293</v>
      </c>
      <c r="G144" s="1012" t="s">
        <v>2128</v>
      </c>
      <c r="H144" s="948"/>
      <c r="I144" s="947"/>
      <c r="J144" s="947"/>
      <c r="K144" s="947"/>
      <c r="L144" s="153" t="str">
        <f t="shared" si="0"/>
        <v>1792</v>
      </c>
      <c r="M144" s="154" t="str">
        <f t="shared" si="1"/>
        <v>ENSEIGNES</v>
      </c>
      <c r="N144" s="155">
        <f>+IF(OR($Q144=Parametres!$G$2,$Q144=Parametres!$G$3),I144,C144)</f>
        <v>119393.66</v>
      </c>
      <c r="O144" s="155">
        <f>+IF(OR($Q144=Parametres!$G$2,$Q144=Parametres!$G$3),J144,D144)</f>
        <v>0</v>
      </c>
      <c r="P144" s="155">
        <f>+IF(OR($Q144=Parametres!$G$2,$Q144=Parametres!$G$3),K144,E144)</f>
        <v>119393.66</v>
      </c>
      <c r="Q144" s="154" t="str">
        <f t="shared" si="10"/>
        <v>2-Actifs</v>
      </c>
      <c r="R144" s="153" t="str">
        <f t="shared" si="10"/>
        <v>1700</v>
      </c>
      <c r="S144" s="154">
        <f t="shared" si="10"/>
        <v>0</v>
      </c>
      <c r="T144" s="156" t="str">
        <f>+VLOOKUP($L144,Data_Validation!$A:$D,1,0)</f>
        <v>1792</v>
      </c>
      <c r="U144" s="156" t="str">
        <f>+VLOOKUP($L144,Data_Validation!$A:$D,3,0)</f>
        <v>Bilan</v>
      </c>
      <c r="V144" s="156" t="str">
        <f>+VLOOKUP($L144,Data_Validation!$A:$D,4,0)</f>
        <v>Enseigne</v>
      </c>
      <c r="W144" s="156" t="str">
        <f>+VLOOKUP($L144,Data_Validation!$A:$E,5,0)</f>
        <v>$</v>
      </c>
      <c r="X144" s="156">
        <f>+VLOOKUP($L144,Data_Validation!$A:$F,6,0)</f>
        <v>0</v>
      </c>
    </row>
    <row r="145" spans="1:24" ht="15" hidden="1" customHeight="1">
      <c r="A145" s="1012" t="s">
        <v>2195</v>
      </c>
      <c r="B145" s="1012" t="s">
        <v>2196</v>
      </c>
      <c r="C145" s="1014">
        <v>-116210.48</v>
      </c>
      <c r="D145" s="1014">
        <v>-185</v>
      </c>
      <c r="E145" s="1014">
        <v>-116395.48</v>
      </c>
      <c r="F145" s="1012" t="s">
        <v>293</v>
      </c>
      <c r="G145" s="1012" t="s">
        <v>2128</v>
      </c>
      <c r="H145" s="969"/>
      <c r="I145" s="969"/>
      <c r="J145" s="969"/>
      <c r="K145" s="969"/>
      <c r="L145" s="153" t="str">
        <f t="shared" si="0"/>
        <v>1793</v>
      </c>
      <c r="M145" s="154" t="str">
        <f t="shared" si="1"/>
        <v>AMORT. CUM. ENSEIGNES</v>
      </c>
      <c r="N145" s="155">
        <f>+IF(OR($Q145=Parametres!$G$2,$Q145=Parametres!$G$3),I145,C145)</f>
        <v>-116210.48</v>
      </c>
      <c r="O145" s="155">
        <f>+IF(OR($Q145=Parametres!$G$2,$Q145=Parametres!$G$3),J145,D145)</f>
        <v>-185</v>
      </c>
      <c r="P145" s="155">
        <f>+IF(OR($Q145=Parametres!$G$2,$Q145=Parametres!$G$3),K145,E145)</f>
        <v>-116395.48</v>
      </c>
      <c r="Q145" s="154" t="str">
        <f t="shared" si="10"/>
        <v>2-Actifs</v>
      </c>
      <c r="R145" s="153" t="str">
        <f t="shared" si="10"/>
        <v>1700</v>
      </c>
      <c r="S145" s="154">
        <f t="shared" si="10"/>
        <v>0</v>
      </c>
      <c r="T145" s="156" t="str">
        <f>+VLOOKUP($L145,Data_Validation!$A:$D,1,0)</f>
        <v>1793</v>
      </c>
      <c r="U145" s="156" t="str">
        <f>+VLOOKUP($L145,Data_Validation!$A:$D,3,0)</f>
        <v>Bilan</v>
      </c>
      <c r="V145" s="156" t="str">
        <f>+VLOOKUP($L145,Data_Validation!$A:$D,4,0)</f>
        <v>Enseigne</v>
      </c>
      <c r="W145" s="156" t="str">
        <f>+VLOOKUP($L145,Data_Validation!$A:$E,5,0)</f>
        <v>$</v>
      </c>
      <c r="X145" s="156">
        <f>+VLOOKUP($L145,Data_Validation!$A:$F,6,0)</f>
        <v>0</v>
      </c>
    </row>
    <row r="146" spans="1:24" ht="15" hidden="1" customHeight="1">
      <c r="A146" s="1012" t="s">
        <v>2415</v>
      </c>
      <c r="B146" s="1012" t="s">
        <v>2416</v>
      </c>
      <c r="C146" s="1014">
        <v>1623600</v>
      </c>
      <c r="D146" s="1014">
        <v>0</v>
      </c>
      <c r="E146" s="1014">
        <v>1623600</v>
      </c>
      <c r="F146" s="1012" t="s">
        <v>293</v>
      </c>
      <c r="G146" s="1012" t="s">
        <v>2416</v>
      </c>
      <c r="H146" s="969"/>
      <c r="I146" s="969"/>
      <c r="J146" s="969"/>
      <c r="K146" s="969"/>
      <c r="L146" s="153" t="str">
        <f t="shared" si="0"/>
        <v>1804</v>
      </c>
      <c r="M146" s="154" t="str">
        <f t="shared" si="1"/>
        <v>RECEVABLE-PROP. &amp; EMPL.</v>
      </c>
      <c r="N146" s="155">
        <f>+IF(OR($Q146=Parametres!$G$2,$Q146=Parametres!$G$3),I146,C146)</f>
        <v>1623600</v>
      </c>
      <c r="O146" s="155">
        <f>+IF(OR($Q146=Parametres!$G$2,$Q146=Parametres!$G$3),J146,D146)</f>
        <v>0</v>
      </c>
      <c r="P146" s="155">
        <f>+IF(OR($Q146=Parametres!$G$2,$Q146=Parametres!$G$3),K146,E146)</f>
        <v>1623600</v>
      </c>
      <c r="Q146" s="154" t="str">
        <f t="shared" ref="Q146:S161" si="11">+F146</f>
        <v>2-Actifs</v>
      </c>
      <c r="R146" s="153" t="str">
        <f t="shared" si="11"/>
        <v>1804</v>
      </c>
      <c r="S146" s="154">
        <f t="shared" si="11"/>
        <v>0</v>
      </c>
      <c r="T146" s="156" t="str">
        <f>+VLOOKUP($L146,Data_Validation!$A:$D,1,0)</f>
        <v>1804</v>
      </c>
      <c r="U146" s="156" t="str">
        <f>+VLOOKUP($L146,Data_Validation!$A:$D,3,0)</f>
        <v>Bilan</v>
      </c>
      <c r="V146" s="156" t="str">
        <f>+VLOOKUP($L146,Data_Validation!$A:$D,4,0)</f>
        <v>Avances à Recevoir Long Terme</v>
      </c>
      <c r="W146" s="156" t="str">
        <f>+VLOOKUP($L146,Data_Validation!$A:$E,5,0)</f>
        <v>$</v>
      </c>
      <c r="X146" s="156">
        <f>+VLOOKUP($L146,Data_Validation!$A:$F,6,0)</f>
        <v>0</v>
      </c>
    </row>
    <row r="147" spans="1:24" ht="15" hidden="1" customHeight="1">
      <c r="A147" s="1012" t="s">
        <v>2752</v>
      </c>
      <c r="B147" s="1012" t="s">
        <v>2753</v>
      </c>
      <c r="C147" s="1014">
        <v>8501.4599999999991</v>
      </c>
      <c r="D147" s="1014">
        <v>7890.97</v>
      </c>
      <c r="E147" s="1014">
        <v>16392.43</v>
      </c>
      <c r="F147" s="1012" t="s">
        <v>293</v>
      </c>
      <c r="G147" s="1012" t="s">
        <v>2623</v>
      </c>
      <c r="H147" s="969"/>
      <c r="I147" s="969"/>
      <c r="J147" s="969"/>
      <c r="K147" s="969"/>
      <c r="L147" s="153" t="str">
        <f t="shared" si="0"/>
        <v>1806</v>
      </c>
      <c r="M147" s="154" t="str">
        <f t="shared" si="1"/>
        <v>FINANCEMENT RECEVABLE</v>
      </c>
      <c r="N147" s="155">
        <f>+IF(OR($Q147=Parametres!$G$2,$Q147=Parametres!$G$3),I147,C147)</f>
        <v>8501.4599999999991</v>
      </c>
      <c r="O147" s="155">
        <f>+IF(OR($Q147=Parametres!$G$2,$Q147=Parametres!$G$3),J147,D147)</f>
        <v>7890.97</v>
      </c>
      <c r="P147" s="155">
        <f>+IF(OR($Q147=Parametres!$G$2,$Q147=Parametres!$G$3),K147,E147)</f>
        <v>16392.43</v>
      </c>
      <c r="Q147" s="154" t="str">
        <f t="shared" si="11"/>
        <v>2-Actifs</v>
      </c>
      <c r="R147" s="153" t="str">
        <f t="shared" si="11"/>
        <v>1382</v>
      </c>
      <c r="S147" s="154">
        <f t="shared" si="11"/>
        <v>0</v>
      </c>
      <c r="T147" s="156" t="str">
        <f>+VLOOKUP($L147,Data_Validation!$A:$D,1,0)</f>
        <v>1806</v>
      </c>
      <c r="U147" s="156" t="str">
        <f>+VLOOKUP($L147,Data_Validation!$A:$D,3,0)</f>
        <v>Bilan</v>
      </c>
      <c r="V147" s="156" t="str">
        <f>+VLOOKUP($L147,Data_Validation!$A:$D,4,0)</f>
        <v>Recevables Autres</v>
      </c>
      <c r="W147" s="156" t="str">
        <f>+VLOOKUP($L147,Data_Validation!$A:$E,5,0)</f>
        <v>$</v>
      </c>
      <c r="X147" s="156">
        <f>+VLOOKUP($L147,Data_Validation!$A:$F,6,0)</f>
        <v>0</v>
      </c>
    </row>
    <row r="148" spans="1:24" ht="15" hidden="1" customHeight="1">
      <c r="A148" s="1012" t="s">
        <v>2846</v>
      </c>
      <c r="B148" s="1012" t="s">
        <v>2847</v>
      </c>
      <c r="C148" s="1014">
        <v>-10887472.85</v>
      </c>
      <c r="D148" s="1014">
        <v>-2552464.7200000002</v>
      </c>
      <c r="E148" s="1014">
        <v>-13439937.57</v>
      </c>
      <c r="F148" s="1012" t="s">
        <v>282</v>
      </c>
      <c r="G148" s="1012" t="s">
        <v>2847</v>
      </c>
      <c r="H148" s="969"/>
      <c r="I148" s="969"/>
      <c r="J148" s="969"/>
      <c r="K148" s="969"/>
      <c r="L148" s="153" t="str">
        <f t="shared" si="0"/>
        <v>2101</v>
      </c>
      <c r="M148" s="154" t="str">
        <f t="shared" si="1"/>
        <v>NOTE A PAYER VEH. NEUFS VOLKS</v>
      </c>
      <c r="N148" s="155">
        <f>+IF(OR($Q148=Parametres!$G$2,$Q148=Parametres!$G$3),I148,C148)</f>
        <v>-10887472.85</v>
      </c>
      <c r="O148" s="155">
        <f>+IF(OR($Q148=Parametres!$G$2,$Q148=Parametres!$G$3),J148,D148)</f>
        <v>-2552464.7200000002</v>
      </c>
      <c r="P148" s="155">
        <f>+IF(OR($Q148=Parametres!$G$2,$Q148=Parametres!$G$3),K148,E148)</f>
        <v>-13439937.57</v>
      </c>
      <c r="Q148" s="154" t="str">
        <f t="shared" si="11"/>
        <v>3-Passifs</v>
      </c>
      <c r="R148" s="153" t="str">
        <f t="shared" si="11"/>
        <v>2101</v>
      </c>
      <c r="S148" s="154">
        <f t="shared" si="11"/>
        <v>0</v>
      </c>
      <c r="T148" s="156" t="str">
        <f>+VLOOKUP($L148,Data_Validation!$A:$D,1,0)</f>
        <v>2101</v>
      </c>
      <c r="U148" s="156" t="str">
        <f>+VLOOKUP($L148,Data_Validation!$A:$D,3,0)</f>
        <v>Bilan</v>
      </c>
      <c r="V148" s="156" t="str">
        <f>+VLOOKUP($L148,Data_Validation!$A:$D,4,0)</f>
        <v>Effet à Payer Véhicules Neufs</v>
      </c>
      <c r="W148" s="156" t="str">
        <f>+VLOOKUP($L148,Data_Validation!$A:$E,5,0)</f>
        <v>$</v>
      </c>
      <c r="X148" s="156">
        <f>+VLOOKUP($L148,Data_Validation!$A:$F,6,0)</f>
        <v>0</v>
      </c>
    </row>
    <row r="149" spans="1:24" ht="15" hidden="1" customHeight="1">
      <c r="A149" s="1012" t="s">
        <v>2036</v>
      </c>
      <c r="B149" s="1012" t="s">
        <v>2037</v>
      </c>
      <c r="C149" s="1014">
        <v>-55233.9</v>
      </c>
      <c r="D149" s="1014">
        <v>47695.5</v>
      </c>
      <c r="E149" s="1014">
        <v>-7538.4</v>
      </c>
      <c r="F149" s="1012" t="s">
        <v>282</v>
      </c>
      <c r="G149" s="1012" t="s">
        <v>2037</v>
      </c>
      <c r="H149" s="969"/>
      <c r="I149" s="969"/>
      <c r="J149" s="969"/>
      <c r="K149" s="969"/>
      <c r="L149" s="153" t="str">
        <f t="shared" si="0"/>
        <v>2103</v>
      </c>
      <c r="M149" s="154" t="str">
        <f t="shared" si="1"/>
        <v>NOTE PAYABLE-FIN. VEH. USAG.</v>
      </c>
      <c r="N149" s="155">
        <f>+IF(OR($Q149=Parametres!$G$2,$Q149=Parametres!$G$3),I149,C149)</f>
        <v>-55233.9</v>
      </c>
      <c r="O149" s="155">
        <f>+IF(OR($Q149=Parametres!$G$2,$Q149=Parametres!$G$3),J149,D149)</f>
        <v>47695.5</v>
      </c>
      <c r="P149" s="155">
        <f>+IF(OR($Q149=Parametres!$G$2,$Q149=Parametres!$G$3),K149,E149)</f>
        <v>-7538.4</v>
      </c>
      <c r="Q149" s="154" t="str">
        <f t="shared" si="11"/>
        <v>3-Passifs</v>
      </c>
      <c r="R149" s="153" t="str">
        <f t="shared" si="11"/>
        <v>2103</v>
      </c>
      <c r="S149" s="154">
        <f t="shared" si="11"/>
        <v>0</v>
      </c>
      <c r="T149" s="156" t="str">
        <f>+VLOOKUP($L149,Data_Validation!$A:$D,1,0)</f>
        <v>2103</v>
      </c>
      <c r="U149" s="156" t="str">
        <f>+VLOOKUP($L149,Data_Validation!$A:$D,3,0)</f>
        <v>Bilan</v>
      </c>
      <c r="V149" s="156" t="str">
        <f>+VLOOKUP($L149,Data_Validation!$A:$D,4,0)</f>
        <v>Effet à Payer Véhicules Usagés</v>
      </c>
      <c r="W149" s="156" t="str">
        <f>+VLOOKUP($L149,Data_Validation!$A:$E,5,0)</f>
        <v>$</v>
      </c>
      <c r="X149" s="156">
        <f>+VLOOKUP($L149,Data_Validation!$A:$F,6,0)</f>
        <v>0</v>
      </c>
    </row>
    <row r="150" spans="1:24" ht="15" hidden="1" customHeight="1">
      <c r="A150" s="1012" t="s">
        <v>2417</v>
      </c>
      <c r="B150" s="1012" t="s">
        <v>2418</v>
      </c>
      <c r="C150" s="1014">
        <v>-15810</v>
      </c>
      <c r="D150" s="1014">
        <v>0</v>
      </c>
      <c r="E150" s="1014">
        <v>-15810</v>
      </c>
      <c r="F150" s="1012" t="s">
        <v>282</v>
      </c>
      <c r="G150" s="1012" t="s">
        <v>2418</v>
      </c>
      <c r="H150" s="969"/>
      <c r="I150" s="969"/>
      <c r="J150" s="969"/>
      <c r="K150" s="969"/>
      <c r="L150" s="153" t="str">
        <f t="shared" si="0"/>
        <v>2131</v>
      </c>
      <c r="M150" s="154" t="str">
        <f t="shared" si="1"/>
        <v>PORTION COURANTE PRET</v>
      </c>
      <c r="N150" s="155">
        <f>+IF(OR($Q150=Parametres!$G$2,$Q150=Parametres!$G$3),I150,C150)</f>
        <v>-15810</v>
      </c>
      <c r="O150" s="155">
        <f>+IF(OR($Q150=Parametres!$G$2,$Q150=Parametres!$G$3),J150,D150)</f>
        <v>0</v>
      </c>
      <c r="P150" s="155">
        <f>+IF(OR($Q150=Parametres!$G$2,$Q150=Parametres!$G$3),K150,E150)</f>
        <v>-15810</v>
      </c>
      <c r="Q150" s="154" t="str">
        <f t="shared" si="11"/>
        <v>3-Passifs</v>
      </c>
      <c r="R150" s="153" t="str">
        <f t="shared" si="11"/>
        <v>2131</v>
      </c>
      <c r="S150" s="154">
        <f t="shared" si="11"/>
        <v>0</v>
      </c>
      <c r="T150" s="156" t="str">
        <f>+VLOOKUP($L150,Data_Validation!$A:$D,1,0)</f>
        <v>2131</v>
      </c>
      <c r="U150" s="156" t="str">
        <f>+VLOOKUP($L150,Data_Validation!$A:$D,3,0)</f>
        <v>Bilan</v>
      </c>
      <c r="V150" s="156" t="str">
        <f>+VLOOKUP($L150,Data_Validation!$A:$D,4,0)</f>
        <v>Portion Court Terme de la Dette Long Terme</v>
      </c>
      <c r="W150" s="156" t="str">
        <f>+VLOOKUP($L150,Data_Validation!$A:$E,5,0)</f>
        <v>$</v>
      </c>
      <c r="X150" s="156">
        <f>+VLOOKUP($L150,Data_Validation!$A:$F,6,0)</f>
        <v>0</v>
      </c>
    </row>
    <row r="151" spans="1:24" ht="15.75" hidden="1" customHeight="1">
      <c r="A151" s="1012" t="s">
        <v>2203</v>
      </c>
      <c r="B151" s="1012" t="s">
        <v>2204</v>
      </c>
      <c r="C151" s="1014">
        <v>-1572.73</v>
      </c>
      <c r="D151" s="1014">
        <v>386.7</v>
      </c>
      <c r="E151" s="1014">
        <v>-1186.03</v>
      </c>
      <c r="F151" s="1012" t="s">
        <v>282</v>
      </c>
      <c r="G151" s="1012" t="s">
        <v>2204</v>
      </c>
      <c r="H151" s="969"/>
      <c r="I151" s="969"/>
      <c r="J151" s="969"/>
      <c r="K151" s="969"/>
      <c r="L151" s="153" t="str">
        <f t="shared" si="0"/>
        <v>2220</v>
      </c>
      <c r="M151" s="154" t="str">
        <f t="shared" si="1"/>
        <v>TPA A PAYER</v>
      </c>
      <c r="N151" s="155">
        <f>+IF(OR($Q151=Parametres!$G$2,$Q151=Parametres!$G$3),I151,C151)</f>
        <v>-1572.73</v>
      </c>
      <c r="O151" s="155">
        <f>+IF(OR($Q151=Parametres!$G$2,$Q151=Parametres!$G$3),J151,D151)</f>
        <v>386.7</v>
      </c>
      <c r="P151" s="155">
        <f>+IF(OR($Q151=Parametres!$G$2,$Q151=Parametres!$G$3),K151,E151)</f>
        <v>-1186.03</v>
      </c>
      <c r="Q151" s="154" t="str">
        <f t="shared" si="11"/>
        <v>3-Passifs</v>
      </c>
      <c r="R151" s="153" t="str">
        <f t="shared" si="11"/>
        <v>2220</v>
      </c>
      <c r="S151" s="154">
        <f t="shared" si="11"/>
        <v>0</v>
      </c>
      <c r="T151" s="156" t="str">
        <f>+VLOOKUP($L151,Data_Validation!$A:$D,1,0)</f>
        <v>2220</v>
      </c>
      <c r="U151" s="156" t="str">
        <f>+VLOOKUP($L151,Data_Validation!$A:$D,3,0)</f>
        <v>Bilan</v>
      </c>
      <c r="V151" s="156" t="str">
        <f>+VLOOKUP($L151,Data_Validation!$A:$D,4,0)</f>
        <v>Taxes de Vente à Payer</v>
      </c>
      <c r="W151" s="156" t="str">
        <f>+VLOOKUP($L151,Data_Validation!$A:$E,5,0)</f>
        <v>$</v>
      </c>
      <c r="X151" s="156">
        <f>+VLOOKUP($L151,Data_Validation!$A:$F,6,0)</f>
        <v>0</v>
      </c>
    </row>
    <row r="152" spans="1:24" ht="15" hidden="1" customHeight="1">
      <c r="A152" s="1012" t="s">
        <v>2056</v>
      </c>
      <c r="B152" s="1012" t="s">
        <v>2057</v>
      </c>
      <c r="C152" s="1014">
        <v>-71246.84</v>
      </c>
      <c r="D152" s="1014">
        <v>-18957.57</v>
      </c>
      <c r="E152" s="1014">
        <v>-90204.41</v>
      </c>
      <c r="F152" s="1012" t="s">
        <v>282</v>
      </c>
      <c r="G152" s="1012" t="s">
        <v>2057</v>
      </c>
      <c r="H152" s="969"/>
      <c r="I152" s="969"/>
      <c r="J152" s="969"/>
      <c r="K152" s="969"/>
      <c r="L152" s="153" t="str">
        <f t="shared" si="0"/>
        <v>2221</v>
      </c>
      <c r="M152" s="154" t="str">
        <f t="shared" si="1"/>
        <v>TVQ A PAYER</v>
      </c>
      <c r="N152" s="155">
        <f>+IF(OR($Q152=Parametres!$G$2,$Q152=Parametres!$G$3),I152,C152)</f>
        <v>-71246.84</v>
      </c>
      <c r="O152" s="155">
        <f>+IF(OR($Q152=Parametres!$G$2,$Q152=Parametres!$G$3),J152,D152)</f>
        <v>-18957.57</v>
      </c>
      <c r="P152" s="155">
        <f>+IF(OR($Q152=Parametres!$G$2,$Q152=Parametres!$G$3),K152,E152)</f>
        <v>-90204.41</v>
      </c>
      <c r="Q152" s="154" t="str">
        <f t="shared" si="11"/>
        <v>3-Passifs</v>
      </c>
      <c r="R152" s="153" t="str">
        <f t="shared" si="11"/>
        <v>2221</v>
      </c>
      <c r="S152" s="154">
        <f t="shared" si="11"/>
        <v>0</v>
      </c>
      <c r="T152" s="156" t="str">
        <f>+VLOOKUP($L152,Data_Validation!$A:$D,1,0)</f>
        <v>2221</v>
      </c>
      <c r="U152" s="156" t="str">
        <f>+VLOOKUP($L152,Data_Validation!$A:$D,3,0)</f>
        <v>Bilan</v>
      </c>
      <c r="V152" s="156" t="str">
        <f>+VLOOKUP($L152,Data_Validation!$A:$D,4,0)</f>
        <v>Taxes de Vente à Payer</v>
      </c>
      <c r="W152" s="156" t="str">
        <f>+VLOOKUP($L152,Data_Validation!$A:$E,5,0)</f>
        <v>$</v>
      </c>
      <c r="X152" s="156">
        <f>+VLOOKUP($L152,Data_Validation!$A:$F,6,0)</f>
        <v>0</v>
      </c>
    </row>
    <row r="153" spans="1:24" ht="15" hidden="1" customHeight="1">
      <c r="A153" s="1012" t="s">
        <v>2796</v>
      </c>
      <c r="B153" s="1012" t="s">
        <v>2797</v>
      </c>
      <c r="C153" s="1014">
        <v>53400.82</v>
      </c>
      <c r="D153" s="1014">
        <v>451.07</v>
      </c>
      <c r="E153" s="1014">
        <v>53851.89</v>
      </c>
      <c r="F153" s="1012" t="s">
        <v>282</v>
      </c>
      <c r="G153" s="1012" t="s">
        <v>2057</v>
      </c>
      <c r="H153" s="969"/>
      <c r="I153" s="969"/>
      <c r="J153" s="969"/>
      <c r="K153" s="969"/>
      <c r="L153" s="153" t="str">
        <f t="shared" si="0"/>
        <v>2222</v>
      </c>
      <c r="M153" s="154" t="str">
        <f t="shared" si="1"/>
        <v>TVQ A RECEVOIR</v>
      </c>
      <c r="N153" s="155">
        <f>+IF(OR($Q153=Parametres!$G$2,$Q153=Parametres!$G$3),I153,C153)</f>
        <v>53400.82</v>
      </c>
      <c r="O153" s="155">
        <f>+IF(OR($Q153=Parametres!$G$2,$Q153=Parametres!$G$3),J153,D153)</f>
        <v>451.07</v>
      </c>
      <c r="P153" s="155">
        <f>+IF(OR($Q153=Parametres!$G$2,$Q153=Parametres!$G$3),K153,E153)</f>
        <v>53851.89</v>
      </c>
      <c r="Q153" s="154" t="str">
        <f t="shared" si="11"/>
        <v>3-Passifs</v>
      </c>
      <c r="R153" s="153" t="str">
        <f t="shared" si="11"/>
        <v>2221</v>
      </c>
      <c r="S153" s="154">
        <f t="shared" si="11"/>
        <v>0</v>
      </c>
      <c r="T153" s="156" t="str">
        <f>+VLOOKUP($L153,Data_Validation!$A:$D,1,0)</f>
        <v>2222</v>
      </c>
      <c r="U153" s="156" t="str">
        <f>+VLOOKUP($L153,Data_Validation!$A:$D,3,0)</f>
        <v>Bilan</v>
      </c>
      <c r="V153" s="156" t="str">
        <f>+VLOOKUP($L153,Data_Validation!$A:$D,4,0)</f>
        <v>Taxes de Vente à Payer</v>
      </c>
      <c r="W153" s="156" t="str">
        <f>+VLOOKUP($L153,Data_Validation!$A:$E,5,0)</f>
        <v>$</v>
      </c>
      <c r="X153" s="156">
        <f>+VLOOKUP($L153,Data_Validation!$A:$F,6,0)</f>
        <v>0</v>
      </c>
    </row>
    <row r="154" spans="1:24" ht="15" hidden="1" customHeight="1">
      <c r="A154" s="1012" t="s">
        <v>2813</v>
      </c>
      <c r="B154" s="1012" t="s">
        <v>2066</v>
      </c>
      <c r="C154" s="1014">
        <v>-241371.68</v>
      </c>
      <c r="D154" s="1014">
        <v>9027.01</v>
      </c>
      <c r="E154" s="1014">
        <v>-232344.67</v>
      </c>
      <c r="F154" s="1012" t="s">
        <v>282</v>
      </c>
      <c r="G154" s="1012" t="s">
        <v>2066</v>
      </c>
      <c r="H154" s="969"/>
      <c r="I154" s="969"/>
      <c r="J154" s="969"/>
      <c r="K154" s="969"/>
      <c r="L154" s="153" t="str">
        <f t="shared" si="0"/>
        <v>2223</v>
      </c>
      <c r="M154" s="154" t="str">
        <f t="shared" si="1"/>
        <v>TPS A PAYER</v>
      </c>
      <c r="N154" s="155">
        <f>+IF(OR($Q154=Parametres!$G$2,$Q154=Parametres!$G$3),I154,C154)</f>
        <v>-241371.68</v>
      </c>
      <c r="O154" s="155">
        <f>+IF(OR($Q154=Parametres!$G$2,$Q154=Parametres!$G$3),J154,D154)</f>
        <v>9027.01</v>
      </c>
      <c r="P154" s="155">
        <f>+IF(OR($Q154=Parametres!$G$2,$Q154=Parametres!$G$3),K154,E154)</f>
        <v>-232344.67</v>
      </c>
      <c r="Q154" s="154" t="str">
        <f t="shared" si="11"/>
        <v>3-Passifs</v>
      </c>
      <c r="R154" s="153" t="str">
        <f t="shared" si="11"/>
        <v>2223</v>
      </c>
      <c r="S154" s="154">
        <f t="shared" si="11"/>
        <v>0</v>
      </c>
      <c r="T154" s="156" t="str">
        <f>+VLOOKUP($L154,Data_Validation!$A:$D,1,0)</f>
        <v>2223</v>
      </c>
      <c r="U154" s="156" t="str">
        <f>+VLOOKUP($L154,Data_Validation!$A:$D,3,0)</f>
        <v>Bilan</v>
      </c>
      <c r="V154" s="156" t="str">
        <f>+VLOOKUP($L154,Data_Validation!$A:$D,4,0)</f>
        <v>Taxes de Vente à Payer</v>
      </c>
      <c r="W154" s="156" t="str">
        <f>+VLOOKUP($L154,Data_Validation!$A:$E,5,0)</f>
        <v>$</v>
      </c>
      <c r="X154" s="156">
        <f>+VLOOKUP($L154,Data_Validation!$A:$F,6,0)</f>
        <v>0</v>
      </c>
    </row>
    <row r="155" spans="1:24" ht="15.75" hidden="1" customHeight="1">
      <c r="A155" s="1012" t="s">
        <v>2064</v>
      </c>
      <c r="B155" s="1012" t="s">
        <v>2065</v>
      </c>
      <c r="C155" s="1014">
        <v>249723.83</v>
      </c>
      <c r="D155" s="1014">
        <v>42587.59</v>
      </c>
      <c r="E155" s="1014">
        <v>292311.42</v>
      </c>
      <c r="F155" s="1012" t="s">
        <v>282</v>
      </c>
      <c r="G155" s="1012" t="s">
        <v>2066</v>
      </c>
      <c r="H155" s="969"/>
      <c r="I155" s="969"/>
      <c r="J155" s="969"/>
      <c r="K155" s="969"/>
      <c r="L155" s="153" t="str">
        <f t="shared" si="0"/>
        <v>2224</v>
      </c>
      <c r="M155" s="154" t="str">
        <f t="shared" si="1"/>
        <v>TPS A RECEVOIR</v>
      </c>
      <c r="N155" s="155">
        <f>+IF(OR($Q155=Parametres!$G$2,$Q155=Parametres!$G$3),I155,C155)</f>
        <v>249723.83</v>
      </c>
      <c r="O155" s="155">
        <f>+IF(OR($Q155=Parametres!$G$2,$Q155=Parametres!$G$3),J155,D155)</f>
        <v>42587.59</v>
      </c>
      <c r="P155" s="155">
        <f>+IF(OR($Q155=Parametres!$G$2,$Q155=Parametres!$G$3),K155,E155)</f>
        <v>292311.42</v>
      </c>
      <c r="Q155" s="154" t="str">
        <f t="shared" si="11"/>
        <v>3-Passifs</v>
      </c>
      <c r="R155" s="153" t="str">
        <f t="shared" si="11"/>
        <v>2223</v>
      </c>
      <c r="S155" s="154">
        <f t="shared" si="11"/>
        <v>0</v>
      </c>
      <c r="T155" s="156" t="str">
        <f>+VLOOKUP($L155,Data_Validation!$A:$D,1,0)</f>
        <v>2224</v>
      </c>
      <c r="U155" s="156" t="str">
        <f>+VLOOKUP($L155,Data_Validation!$A:$D,3,0)</f>
        <v>Bilan</v>
      </c>
      <c r="V155" s="156" t="str">
        <f>+VLOOKUP($L155,Data_Validation!$A:$D,4,0)</f>
        <v>Taxes de Vente à Payer</v>
      </c>
      <c r="W155" s="156" t="str">
        <f>+VLOOKUP($L155,Data_Validation!$A:$E,5,0)</f>
        <v>$</v>
      </c>
      <c r="X155" s="156">
        <f>+VLOOKUP($L155,Data_Validation!$A:$F,6,0)</f>
        <v>0</v>
      </c>
    </row>
    <row r="156" spans="1:24" ht="15" hidden="1" customHeight="1">
      <c r="A156" s="1012" t="s">
        <v>2616</v>
      </c>
      <c r="B156" s="1012" t="s">
        <v>2617</v>
      </c>
      <c r="C156" s="1014">
        <v>-1443</v>
      </c>
      <c r="D156" s="1014">
        <v>156</v>
      </c>
      <c r="E156" s="1014">
        <v>-1287</v>
      </c>
      <c r="F156" s="1012" t="s">
        <v>282</v>
      </c>
      <c r="G156" s="1012" t="s">
        <v>2057</v>
      </c>
      <c r="H156" s="969"/>
      <c r="I156" s="969"/>
      <c r="J156" s="969"/>
      <c r="K156" s="969"/>
      <c r="L156" s="153" t="str">
        <f t="shared" si="0"/>
        <v>2225</v>
      </c>
      <c r="M156" s="154" t="str">
        <f t="shared" si="1"/>
        <v>DROIT SUR PNEUS</v>
      </c>
      <c r="N156" s="155">
        <f>+IF(OR($Q156=Parametres!$G$2,$Q156=Parametres!$G$3),I156,C156)</f>
        <v>-1443</v>
      </c>
      <c r="O156" s="155">
        <f>+IF(OR($Q156=Parametres!$G$2,$Q156=Parametres!$G$3),J156,D156)</f>
        <v>156</v>
      </c>
      <c r="P156" s="155">
        <f>+IF(OR($Q156=Parametres!$G$2,$Q156=Parametres!$G$3),K156,E156)</f>
        <v>-1287</v>
      </c>
      <c r="Q156" s="154" t="str">
        <f t="shared" si="11"/>
        <v>3-Passifs</v>
      </c>
      <c r="R156" s="153" t="str">
        <f t="shared" si="11"/>
        <v>2221</v>
      </c>
      <c r="S156" s="154">
        <f t="shared" si="11"/>
        <v>0</v>
      </c>
      <c r="T156" s="156" t="str">
        <f>+VLOOKUP($L156,Data_Validation!$A:$D,1,0)</f>
        <v>2225</v>
      </c>
      <c r="U156" s="156" t="str">
        <f>+VLOOKUP($L156,Data_Validation!$A:$D,3,0)</f>
        <v>Bilan</v>
      </c>
      <c r="V156" s="156" t="str">
        <f>+VLOOKUP($L156,Data_Validation!$A:$D,4,0)</f>
        <v>Taxes de Vente à Payer</v>
      </c>
      <c r="W156" s="156" t="str">
        <f>+VLOOKUP($L156,Data_Validation!$A:$E,5,0)</f>
        <v>$</v>
      </c>
      <c r="X156" s="156">
        <f>+VLOOKUP($L156,Data_Validation!$A:$F,6,0)</f>
        <v>0</v>
      </c>
    </row>
    <row r="157" spans="1:24" ht="15" hidden="1" customHeight="1">
      <c r="A157" s="1012" t="s">
        <v>2818</v>
      </c>
      <c r="B157" s="1012" t="s">
        <v>2819</v>
      </c>
      <c r="C157" s="1014">
        <v>-86284.1</v>
      </c>
      <c r="D157" s="1014">
        <v>69164.87</v>
      </c>
      <c r="E157" s="1014">
        <v>-17119.23</v>
      </c>
      <c r="F157" s="1012" t="s">
        <v>282</v>
      </c>
      <c r="G157" s="1012" t="s">
        <v>2134</v>
      </c>
      <c r="H157" s="969"/>
      <c r="I157" s="969"/>
      <c r="J157" s="969"/>
      <c r="K157" s="969"/>
      <c r="L157" s="153" t="str">
        <f t="shared" si="0"/>
        <v>2281</v>
      </c>
      <c r="M157" s="154" t="str">
        <f t="shared" si="1"/>
        <v>LIEN A PAYER</v>
      </c>
      <c r="N157" s="155">
        <f>+IF(OR($Q157=Parametres!$G$2,$Q157=Parametres!$G$3),I157,C157)</f>
        <v>-86284.1</v>
      </c>
      <c r="O157" s="155">
        <f>+IF(OR($Q157=Parametres!$G$2,$Q157=Parametres!$G$3),J157,D157)</f>
        <v>69164.87</v>
      </c>
      <c r="P157" s="155">
        <f>+IF(OR($Q157=Parametres!$G$2,$Q157=Parametres!$G$3),K157,E157)</f>
        <v>-17119.23</v>
      </c>
      <c r="Q157" s="154" t="str">
        <f t="shared" si="11"/>
        <v>3-Passifs</v>
      </c>
      <c r="R157" s="153" t="str">
        <f t="shared" si="11"/>
        <v>2283</v>
      </c>
      <c r="S157" s="154">
        <f t="shared" si="11"/>
        <v>0</v>
      </c>
      <c r="T157" s="156" t="str">
        <f>+VLOOKUP($L157,Data_Validation!$A:$D,1,0)</f>
        <v>2281</v>
      </c>
      <c r="U157" s="156" t="str">
        <f>+VLOOKUP($L157,Data_Validation!$A:$D,3,0)</f>
        <v>Bilan</v>
      </c>
      <c r="V157" s="156" t="str">
        <f>+VLOOKUP($L157,Data_Validation!$A:$D,4,0)</f>
        <v>Autres Comptes à Payer</v>
      </c>
      <c r="W157" s="156" t="str">
        <f>+VLOOKUP($L157,Data_Validation!$A:$E,5,0)</f>
        <v>$</v>
      </c>
      <c r="X157" s="156">
        <f>+VLOOKUP($L157,Data_Validation!$A:$F,6,0)</f>
        <v>0</v>
      </c>
    </row>
    <row r="158" spans="1:24" ht="15" hidden="1" customHeight="1">
      <c r="A158" s="1012" t="s">
        <v>2173</v>
      </c>
      <c r="B158" s="1012" t="s">
        <v>2134</v>
      </c>
      <c r="C158" s="1014">
        <v>-5760.25</v>
      </c>
      <c r="D158" s="1014">
        <v>-1105</v>
      </c>
      <c r="E158" s="1014">
        <v>-6865.25</v>
      </c>
      <c r="F158" s="1012" t="s">
        <v>282</v>
      </c>
      <c r="G158" s="1012" t="s">
        <v>2134</v>
      </c>
      <c r="H158" s="969"/>
      <c r="I158" s="969"/>
      <c r="J158" s="969"/>
      <c r="K158" s="969"/>
      <c r="L158" s="153" t="str">
        <f t="shared" si="0"/>
        <v>2283</v>
      </c>
      <c r="M158" s="154" t="str">
        <f t="shared" si="1"/>
        <v>PLAQUE A PAYER</v>
      </c>
      <c r="N158" s="155">
        <f>+IF(OR($Q158=Parametres!$G$2,$Q158=Parametres!$G$3),I158,C158)</f>
        <v>-5760.25</v>
      </c>
      <c r="O158" s="155">
        <f>+IF(OR($Q158=Parametres!$G$2,$Q158=Parametres!$G$3),J158,D158)</f>
        <v>-1105</v>
      </c>
      <c r="P158" s="155">
        <f>+IF(OR($Q158=Parametres!$G$2,$Q158=Parametres!$G$3),K158,E158)</f>
        <v>-6865.25</v>
      </c>
      <c r="Q158" s="154" t="str">
        <f t="shared" si="11"/>
        <v>3-Passifs</v>
      </c>
      <c r="R158" s="153" t="str">
        <f t="shared" si="11"/>
        <v>2283</v>
      </c>
      <c r="S158" s="154">
        <f t="shared" si="11"/>
        <v>0</v>
      </c>
      <c r="T158" s="156" t="str">
        <f>+VLOOKUP($L158,Data_Validation!$A:$D,1,0)</f>
        <v>2283</v>
      </c>
      <c r="U158" s="156" t="str">
        <f>+VLOOKUP($L158,Data_Validation!$A:$D,3,0)</f>
        <v>Bilan</v>
      </c>
      <c r="V158" s="156" t="str">
        <f>+VLOOKUP($L158,Data_Validation!$A:$D,4,0)</f>
        <v>Autres Comptes à Payer</v>
      </c>
      <c r="W158" s="156" t="str">
        <f>+VLOOKUP($L158,Data_Validation!$A:$E,5,0)</f>
        <v>$</v>
      </c>
      <c r="X158" s="156">
        <f>+VLOOKUP($L158,Data_Validation!$A:$F,6,0)</f>
        <v>0</v>
      </c>
    </row>
    <row r="159" spans="1:24" ht="15.75" hidden="1" customHeight="1">
      <c r="A159" s="1012" t="s">
        <v>2772</v>
      </c>
      <c r="B159" s="1012" t="s">
        <v>2773</v>
      </c>
      <c r="C159" s="1014">
        <v>-78392.429999999993</v>
      </c>
      <c r="D159" s="1014">
        <v>8377.7199999999993</v>
      </c>
      <c r="E159" s="1014">
        <v>-70014.710000000006</v>
      </c>
      <c r="F159" s="1012" t="s">
        <v>282</v>
      </c>
      <c r="G159" s="1012" t="s">
        <v>2134</v>
      </c>
      <c r="H159" s="969"/>
      <c r="I159" s="969"/>
      <c r="J159" s="969"/>
      <c r="K159" s="969"/>
      <c r="L159" s="153" t="str">
        <f t="shared" si="0"/>
        <v>2285</v>
      </c>
      <c r="M159" s="154" t="str">
        <f t="shared" si="1"/>
        <v>PROTECTIONS A PAYER</v>
      </c>
      <c r="N159" s="155">
        <f>+IF(OR($Q159=Parametres!$G$2,$Q159=Parametres!$G$3),I159,C159)</f>
        <v>-78392.429999999993</v>
      </c>
      <c r="O159" s="155">
        <f>+IF(OR($Q159=Parametres!$G$2,$Q159=Parametres!$G$3),J159,D159)</f>
        <v>8377.7199999999993</v>
      </c>
      <c r="P159" s="155">
        <f>+IF(OR($Q159=Parametres!$G$2,$Q159=Parametres!$G$3),K159,E159)</f>
        <v>-70014.710000000006</v>
      </c>
      <c r="Q159" s="154" t="str">
        <f t="shared" si="11"/>
        <v>3-Passifs</v>
      </c>
      <c r="R159" s="153" t="str">
        <f t="shared" si="11"/>
        <v>2283</v>
      </c>
      <c r="S159" s="154">
        <f t="shared" si="11"/>
        <v>0</v>
      </c>
      <c r="T159" s="156" t="str">
        <f>+VLOOKUP($L159,Data_Validation!$A:$D,1,0)</f>
        <v>2285</v>
      </c>
      <c r="U159" s="156" t="str">
        <f>+VLOOKUP($L159,Data_Validation!$A:$D,3,0)</f>
        <v>Bilan</v>
      </c>
      <c r="V159" s="156" t="str">
        <f>+VLOOKUP($L159,Data_Validation!$A:$D,4,0)</f>
        <v>Autres Comptes à Payer</v>
      </c>
      <c r="W159" s="156" t="str">
        <f>+VLOOKUP($L159,Data_Validation!$A:$E,5,0)</f>
        <v>$</v>
      </c>
      <c r="X159" s="156">
        <f>+VLOOKUP($L159,Data_Validation!$A:$F,6,0)</f>
        <v>0</v>
      </c>
    </row>
    <row r="160" spans="1:24" ht="15" hidden="1" customHeight="1">
      <c r="A160" s="1012" t="s">
        <v>2746</v>
      </c>
      <c r="B160" s="1012" t="s">
        <v>2747</v>
      </c>
      <c r="C160" s="1014">
        <v>-21543.05</v>
      </c>
      <c r="D160" s="1014">
        <v>3044.56</v>
      </c>
      <c r="E160" s="1014">
        <v>-18498.490000000002</v>
      </c>
      <c r="F160" s="1012" t="s">
        <v>282</v>
      </c>
      <c r="G160" s="1012" t="s">
        <v>2134</v>
      </c>
      <c r="H160" s="969"/>
      <c r="I160" s="970"/>
      <c r="J160" s="970"/>
      <c r="K160" s="970"/>
      <c r="L160" s="153" t="str">
        <f t="shared" si="0"/>
        <v>2287</v>
      </c>
      <c r="M160" s="154" t="str">
        <f t="shared" si="1"/>
        <v>A PAYER INVAPLAN</v>
      </c>
      <c r="N160" s="155">
        <f>+IF(OR($Q160=Parametres!$G$2,$Q160=Parametres!$G$3),I160,C160)</f>
        <v>-21543.05</v>
      </c>
      <c r="O160" s="155">
        <f>+IF(OR($Q160=Parametres!$G$2,$Q160=Parametres!$G$3),J160,D160)</f>
        <v>3044.56</v>
      </c>
      <c r="P160" s="155">
        <f>+IF(OR($Q160=Parametres!$G$2,$Q160=Parametres!$G$3),K160,E160)</f>
        <v>-18498.490000000002</v>
      </c>
      <c r="Q160" s="154" t="str">
        <f t="shared" si="11"/>
        <v>3-Passifs</v>
      </c>
      <c r="R160" s="153" t="str">
        <f t="shared" si="11"/>
        <v>2283</v>
      </c>
      <c r="S160" s="154">
        <f t="shared" si="11"/>
        <v>0</v>
      </c>
      <c r="T160" s="156" t="str">
        <f>+VLOOKUP($L160,Data_Validation!$A:$D,1,0)</f>
        <v>2287</v>
      </c>
      <c r="U160" s="156" t="str">
        <f>+VLOOKUP($L160,Data_Validation!$A:$D,3,0)</f>
        <v>Bilan</v>
      </c>
      <c r="V160" s="156" t="str">
        <f>+VLOOKUP($L160,Data_Validation!$A:$D,4,0)</f>
        <v>Autres Comptes à Payer</v>
      </c>
      <c r="W160" s="156" t="str">
        <f>+VLOOKUP($L160,Data_Validation!$A:$E,5,0)</f>
        <v>$</v>
      </c>
      <c r="X160" s="156">
        <f>+VLOOKUP($L160,Data_Validation!$A:$F,6,0)</f>
        <v>0</v>
      </c>
    </row>
    <row r="161" spans="1:24" ht="15" hidden="1" customHeight="1">
      <c r="A161" s="1012" t="s">
        <v>2009</v>
      </c>
      <c r="B161" s="1012" t="s">
        <v>2010</v>
      </c>
      <c r="C161" s="1014">
        <v>-366097.67</v>
      </c>
      <c r="D161" s="1014">
        <v>29474.799999999999</v>
      </c>
      <c r="E161" s="1014">
        <v>-336622.87</v>
      </c>
      <c r="F161" s="1012" t="s">
        <v>282</v>
      </c>
      <c r="G161" s="1012" t="s">
        <v>2010</v>
      </c>
      <c r="H161" s="1013"/>
      <c r="I161" s="1013"/>
      <c r="J161" s="1013"/>
      <c r="K161" s="1013"/>
      <c r="L161" s="153" t="str">
        <f t="shared" si="0"/>
        <v>2291</v>
      </c>
      <c r="M161" s="154" t="str">
        <f t="shared" si="1"/>
        <v>COMPTES FOURNISSEURS</v>
      </c>
      <c r="N161" s="155">
        <f>+IF(OR($Q161=Parametres!$G$2,$Q161=Parametres!$G$3),I161,C161)</f>
        <v>-366097.67</v>
      </c>
      <c r="O161" s="155">
        <f>+IF(OR($Q161=Parametres!$G$2,$Q161=Parametres!$G$3),J161,D161)</f>
        <v>29474.799999999999</v>
      </c>
      <c r="P161" s="155">
        <f>+IF(OR($Q161=Parametres!$G$2,$Q161=Parametres!$G$3),K161,E161)</f>
        <v>-336622.87</v>
      </c>
      <c r="Q161" s="154" t="str">
        <f t="shared" si="11"/>
        <v>3-Passifs</v>
      </c>
      <c r="R161" s="153" t="str">
        <f t="shared" si="11"/>
        <v>2291</v>
      </c>
      <c r="S161" s="154">
        <f t="shared" si="11"/>
        <v>0</v>
      </c>
      <c r="T161" s="156" t="str">
        <f>+VLOOKUP($L161,Data_Validation!$A:$D,1,0)</f>
        <v>2291</v>
      </c>
      <c r="U161" s="156" t="str">
        <f>+VLOOKUP($L161,Data_Validation!$A:$D,3,0)</f>
        <v>Bilan</v>
      </c>
      <c r="V161" s="156" t="str">
        <f>+VLOOKUP($L161,Data_Validation!$A:$D,4,0)</f>
        <v>Comptes à Payer Fournisseurs</v>
      </c>
      <c r="W161" s="156" t="str">
        <f>+VLOOKUP($L161,Data_Validation!$A:$E,5,0)</f>
        <v>$</v>
      </c>
      <c r="X161" s="156">
        <f>+VLOOKUP($L161,Data_Validation!$A:$F,6,0)</f>
        <v>0</v>
      </c>
    </row>
    <row r="162" spans="1:24" ht="15" hidden="1" customHeight="1">
      <c r="A162" s="1012" t="s">
        <v>2132</v>
      </c>
      <c r="B162" s="1012" t="s">
        <v>2133</v>
      </c>
      <c r="C162" s="1014">
        <v>-8101.46</v>
      </c>
      <c r="D162" s="1014">
        <v>7274.31</v>
      </c>
      <c r="E162" s="1014">
        <v>-827.15</v>
      </c>
      <c r="F162" s="1012" t="s">
        <v>282</v>
      </c>
      <c r="G162" s="1012" t="s">
        <v>2134</v>
      </c>
      <c r="H162" s="1013"/>
      <c r="I162" s="1013"/>
      <c r="J162" s="1013"/>
      <c r="K162" s="1013"/>
      <c r="L162" s="153" t="str">
        <f t="shared" si="0"/>
        <v>2293</v>
      </c>
      <c r="M162" s="154" t="str">
        <f t="shared" si="1"/>
        <v>PROVISIONS GARANTIES USAGEES</v>
      </c>
      <c r="N162" s="155">
        <f>+IF(OR($Q162=Parametres!$G$2,$Q162=Parametres!$G$3),I162,C162)</f>
        <v>-8101.46</v>
      </c>
      <c r="O162" s="155">
        <f>+IF(OR($Q162=Parametres!$G$2,$Q162=Parametres!$G$3),J162,D162)</f>
        <v>7274.31</v>
      </c>
      <c r="P162" s="155">
        <f>+IF(OR($Q162=Parametres!$G$2,$Q162=Parametres!$G$3),K162,E162)</f>
        <v>-827.15</v>
      </c>
      <c r="Q162" s="154" t="str">
        <f t="shared" ref="Q162:S177" si="12">+F162</f>
        <v>3-Passifs</v>
      </c>
      <c r="R162" s="153" t="str">
        <f t="shared" si="12"/>
        <v>2283</v>
      </c>
      <c r="S162" s="154">
        <f t="shared" si="12"/>
        <v>0</v>
      </c>
      <c r="T162" s="156" t="str">
        <f>+VLOOKUP($L162,Data_Validation!$A:$D,1,0)</f>
        <v>2293</v>
      </c>
      <c r="U162" s="156" t="str">
        <f>+VLOOKUP($L162,Data_Validation!$A:$D,3,0)</f>
        <v>Bilan</v>
      </c>
      <c r="V162" s="156" t="str">
        <f>+VLOOKUP($L162,Data_Validation!$A:$D,4,0)</f>
        <v>Autres Courus</v>
      </c>
      <c r="W162" s="156" t="str">
        <f>+VLOOKUP($L162,Data_Validation!$A:$E,5,0)</f>
        <v>$</v>
      </c>
      <c r="X162" s="156">
        <f>+VLOOKUP($L162,Data_Validation!$A:$F,6,0)</f>
        <v>0</v>
      </c>
    </row>
    <row r="163" spans="1:24" ht="15.75" hidden="1" customHeight="1">
      <c r="A163" s="1012" t="s">
        <v>2146</v>
      </c>
      <c r="B163" s="1012" t="s">
        <v>2147</v>
      </c>
      <c r="C163" s="1014">
        <v>-27400</v>
      </c>
      <c r="D163" s="1014">
        <v>-6300</v>
      </c>
      <c r="E163" s="1014">
        <v>-33700</v>
      </c>
      <c r="F163" s="1012" t="s">
        <v>282</v>
      </c>
      <c r="G163" s="1012" t="s">
        <v>2134</v>
      </c>
      <c r="H163" s="1013"/>
      <c r="I163" s="1013"/>
      <c r="J163" s="1013"/>
      <c r="K163" s="1013"/>
      <c r="L163" s="153" t="str">
        <f t="shared" si="0"/>
        <v>2297</v>
      </c>
      <c r="M163" s="154" t="str">
        <f t="shared" si="1"/>
        <v>RESERVE RENOUVELLEMENT</v>
      </c>
      <c r="N163" s="155">
        <f>+IF(OR($Q163=Parametres!$G$2,$Q163=Parametres!$G$3),I163,C163)</f>
        <v>-27400</v>
      </c>
      <c r="O163" s="155">
        <f>+IF(OR($Q163=Parametres!$G$2,$Q163=Parametres!$G$3),J163,D163)</f>
        <v>-6300</v>
      </c>
      <c r="P163" s="155">
        <f>+IF(OR($Q163=Parametres!$G$2,$Q163=Parametres!$G$3),K163,E163)</f>
        <v>-33700</v>
      </c>
      <c r="Q163" s="154" t="str">
        <f t="shared" si="12"/>
        <v>3-Passifs</v>
      </c>
      <c r="R163" s="153" t="str">
        <f t="shared" si="12"/>
        <v>2283</v>
      </c>
      <c r="S163" s="154">
        <f t="shared" si="12"/>
        <v>0</v>
      </c>
      <c r="T163" s="156" t="str">
        <f>+VLOOKUP($L163,Data_Validation!$A:$D,1,0)</f>
        <v>2297</v>
      </c>
      <c r="U163" s="156" t="str">
        <f>+VLOOKUP($L163,Data_Validation!$A:$D,3,0)</f>
        <v>Bilan</v>
      </c>
      <c r="V163" s="156" t="str">
        <f>+VLOOKUP($L163,Data_Validation!$A:$D,4,0)</f>
        <v>Autres Courus</v>
      </c>
      <c r="W163" s="156" t="str">
        <f>+VLOOKUP($L163,Data_Validation!$A:$E,5,0)</f>
        <v>$</v>
      </c>
      <c r="X163" s="156">
        <f>+VLOOKUP($L163,Data_Validation!$A:$F,6,0)</f>
        <v>0</v>
      </c>
    </row>
    <row r="164" spans="1:24" ht="15" hidden="1" customHeight="1">
      <c r="A164" s="1012" t="s">
        <v>2710</v>
      </c>
      <c r="B164" s="1012" t="s">
        <v>2162</v>
      </c>
      <c r="C164" s="1014">
        <v>3470.52</v>
      </c>
      <c r="D164" s="1014">
        <v>2085.39</v>
      </c>
      <c r="E164" s="1014">
        <v>5555.91</v>
      </c>
      <c r="F164" s="1012" t="s">
        <v>282</v>
      </c>
      <c r="G164" s="1012" t="s">
        <v>2162</v>
      </c>
      <c r="H164" s="1013"/>
      <c r="I164" s="1013"/>
      <c r="J164" s="1013"/>
      <c r="K164" s="1013"/>
      <c r="L164" s="153" t="str">
        <f t="shared" si="0"/>
        <v>2315</v>
      </c>
      <c r="M164" s="154" t="str">
        <f t="shared" si="1"/>
        <v>PRIME ASSURANCE GROUPE</v>
      </c>
      <c r="N164" s="155">
        <f>+IF(OR($Q164=Parametres!$G$2,$Q164=Parametres!$G$3),I164,C164)</f>
        <v>3470.52</v>
      </c>
      <c r="O164" s="155">
        <f>+IF(OR($Q164=Parametres!$G$2,$Q164=Parametres!$G$3),J164,D164)</f>
        <v>2085.39</v>
      </c>
      <c r="P164" s="155">
        <f>+IF(OR($Q164=Parametres!$G$2,$Q164=Parametres!$G$3),K164,E164)</f>
        <v>5555.91</v>
      </c>
      <c r="Q164" s="154" t="str">
        <f t="shared" si="12"/>
        <v>3-Passifs</v>
      </c>
      <c r="R164" s="153" t="str">
        <f t="shared" si="12"/>
        <v>2315</v>
      </c>
      <c r="S164" s="154">
        <f t="shared" si="12"/>
        <v>0</v>
      </c>
      <c r="T164" s="156" t="str">
        <f>+VLOOKUP($L164,Data_Validation!$A:$D,1,0)</f>
        <v>2315</v>
      </c>
      <c r="U164" s="156" t="str">
        <f>+VLOOKUP($L164,Data_Validation!$A:$D,3,0)</f>
        <v>Bilan</v>
      </c>
      <c r="V164" s="156" t="str">
        <f>+VLOOKUP($L164,Data_Validation!$A:$D,4,0)</f>
        <v>DAS à Payer</v>
      </c>
      <c r="W164" s="156" t="str">
        <f>+VLOOKUP($L164,Data_Validation!$A:$E,5,0)</f>
        <v>$</v>
      </c>
      <c r="X164" s="156">
        <f>+VLOOKUP($L164,Data_Validation!$A:$F,6,0)</f>
        <v>0</v>
      </c>
    </row>
    <row r="165" spans="1:24" ht="15" hidden="1" customHeight="1">
      <c r="A165" s="1012" t="s">
        <v>2160</v>
      </c>
      <c r="B165" s="1012" t="s">
        <v>2161</v>
      </c>
      <c r="C165" s="1034">
        <v>3049.57</v>
      </c>
      <c r="D165" s="1034">
        <v>-1397.17</v>
      </c>
      <c r="E165" s="1034">
        <v>1652.4</v>
      </c>
      <c r="F165" s="1012" t="s">
        <v>282</v>
      </c>
      <c r="G165" s="1012" t="s">
        <v>2162</v>
      </c>
      <c r="H165" s="1013"/>
      <c r="I165" s="1014"/>
      <c r="J165" s="1014"/>
      <c r="K165" s="1014"/>
      <c r="L165" s="153" t="str">
        <f t="shared" si="0"/>
        <v>2335</v>
      </c>
      <c r="M165" s="154" t="str">
        <f t="shared" si="1"/>
        <v>COMITE SOCIAL</v>
      </c>
      <c r="N165" s="155">
        <f>+IF(OR($Q165=Parametres!$G$2,$Q165=Parametres!$G$3),I165,C165)</f>
        <v>3049.57</v>
      </c>
      <c r="O165" s="155">
        <f>+IF(OR($Q165=Parametres!$G$2,$Q165=Parametres!$G$3),J165,D165)</f>
        <v>-1397.17</v>
      </c>
      <c r="P165" s="155">
        <f>+IF(OR($Q165=Parametres!$G$2,$Q165=Parametres!$G$3),K165,E165)</f>
        <v>1652.4</v>
      </c>
      <c r="Q165" s="154" t="str">
        <f t="shared" si="12"/>
        <v>3-Passifs</v>
      </c>
      <c r="R165" s="153" t="str">
        <f t="shared" si="12"/>
        <v>2315</v>
      </c>
      <c r="S165" s="154">
        <f t="shared" si="12"/>
        <v>0</v>
      </c>
      <c r="T165" s="156" t="str">
        <f>+VLOOKUP($L165,Data_Validation!$A:$D,1,0)</f>
        <v>2335</v>
      </c>
      <c r="U165" s="156" t="str">
        <f>+VLOOKUP($L165,Data_Validation!$A:$D,3,0)</f>
        <v>Bilan</v>
      </c>
      <c r="V165" s="156" t="str">
        <f>+VLOOKUP($L165,Data_Validation!$A:$D,4,0)</f>
        <v>DAS à Payer</v>
      </c>
      <c r="W165" s="156" t="str">
        <f>+VLOOKUP($L165,Data_Validation!$A:$E,5,0)</f>
        <v>$</v>
      </c>
      <c r="X165" s="156">
        <f>+VLOOKUP($L165,Data_Validation!$A:$F,6,0)</f>
        <v>0</v>
      </c>
    </row>
    <row r="166" spans="1:24" ht="15" hidden="1" customHeight="1">
      <c r="A166" s="1012" t="s">
        <v>2749</v>
      </c>
      <c r="B166" s="1012" t="s">
        <v>2750</v>
      </c>
      <c r="C166" s="1014">
        <v>-23674.38</v>
      </c>
      <c r="D166" s="1014">
        <v>432.83</v>
      </c>
      <c r="E166" s="1014">
        <v>-23241.55</v>
      </c>
      <c r="F166" s="1012" t="s">
        <v>282</v>
      </c>
      <c r="G166" s="1012" t="s">
        <v>2162</v>
      </c>
      <c r="H166" s="1013"/>
      <c r="I166" s="1013"/>
      <c r="J166" s="1013"/>
      <c r="K166" s="1013"/>
      <c r="L166" s="153" t="str">
        <f t="shared" si="0"/>
        <v>2342</v>
      </c>
      <c r="M166" s="154" t="str">
        <f t="shared" si="1"/>
        <v>REER STANDARD LIFE</v>
      </c>
      <c r="N166" s="155">
        <f>+IF(OR($Q166=Parametres!$G$2,$Q166=Parametres!$G$3),I166,C166)</f>
        <v>-23674.38</v>
      </c>
      <c r="O166" s="155">
        <f>+IF(OR($Q166=Parametres!$G$2,$Q166=Parametres!$G$3),J166,D166)</f>
        <v>432.83</v>
      </c>
      <c r="P166" s="155">
        <f>+IF(OR($Q166=Parametres!$G$2,$Q166=Parametres!$G$3),K166,E166)</f>
        <v>-23241.55</v>
      </c>
      <c r="Q166" s="154" t="str">
        <f t="shared" si="12"/>
        <v>3-Passifs</v>
      </c>
      <c r="R166" s="153" t="str">
        <f t="shared" si="12"/>
        <v>2315</v>
      </c>
      <c r="S166" s="154">
        <f t="shared" si="12"/>
        <v>0</v>
      </c>
      <c r="T166" s="156" t="str">
        <f>+VLOOKUP($L166,Data_Validation!$A:$D,1,0)</f>
        <v>2342</v>
      </c>
      <c r="U166" s="156" t="str">
        <f>+VLOOKUP($L166,Data_Validation!$A:$D,3,0)</f>
        <v>Bilan</v>
      </c>
      <c r="V166" s="156" t="str">
        <f>+VLOOKUP($L166,Data_Validation!$A:$D,4,0)</f>
        <v>DAS à Payer</v>
      </c>
      <c r="W166" s="156" t="str">
        <f>+VLOOKUP($L166,Data_Validation!$A:$E,5,0)</f>
        <v>$</v>
      </c>
      <c r="X166" s="156">
        <f>+VLOOKUP($L166,Data_Validation!$A:$F,6,0)</f>
        <v>0</v>
      </c>
    </row>
    <row r="167" spans="1:24" ht="15" hidden="1" customHeight="1">
      <c r="A167" s="1012" t="s">
        <v>2582</v>
      </c>
      <c r="B167" s="1012" t="s">
        <v>2583</v>
      </c>
      <c r="C167" s="1034">
        <v>-722.88</v>
      </c>
      <c r="D167" s="1034">
        <v>-8.2799999999999994</v>
      </c>
      <c r="E167" s="1034">
        <v>-731.16</v>
      </c>
      <c r="F167" s="1012" t="s">
        <v>282</v>
      </c>
      <c r="G167" s="1012" t="s">
        <v>2162</v>
      </c>
      <c r="H167" s="1013"/>
      <c r="I167" s="1014"/>
      <c r="J167" s="1014"/>
      <c r="K167" s="1014"/>
      <c r="L167" s="153" t="str">
        <f t="shared" si="0"/>
        <v>2343</v>
      </c>
      <c r="M167" s="154" t="str">
        <f t="shared" si="1"/>
        <v>COMITE PARITAIRE</v>
      </c>
      <c r="N167" s="155">
        <f>+IF(OR($Q167=Parametres!$G$2,$Q167=Parametres!$G$3),I167,C167)</f>
        <v>-722.88</v>
      </c>
      <c r="O167" s="155">
        <f>+IF(OR($Q167=Parametres!$G$2,$Q167=Parametres!$G$3),J167,D167)</f>
        <v>-8.2799999999999994</v>
      </c>
      <c r="P167" s="155">
        <f>+IF(OR($Q167=Parametres!$G$2,$Q167=Parametres!$G$3),K167,E167)</f>
        <v>-731.16</v>
      </c>
      <c r="Q167" s="154" t="str">
        <f t="shared" si="12"/>
        <v>3-Passifs</v>
      </c>
      <c r="R167" s="153" t="str">
        <f t="shared" si="12"/>
        <v>2315</v>
      </c>
      <c r="S167" s="154">
        <f t="shared" si="12"/>
        <v>0</v>
      </c>
      <c r="T167" s="156" t="str">
        <f>+VLOOKUP($L167,Data_Validation!$A:$D,1,0)</f>
        <v>2343</v>
      </c>
      <c r="U167" s="156" t="str">
        <f>+VLOOKUP($L167,Data_Validation!$A:$D,3,0)</f>
        <v>Bilan</v>
      </c>
      <c r="V167" s="156" t="str">
        <f>+VLOOKUP($L167,Data_Validation!$A:$D,4,0)</f>
        <v>DAS à Payer</v>
      </c>
      <c r="W167" s="156" t="str">
        <f>+VLOOKUP($L167,Data_Validation!$A:$E,5,0)</f>
        <v>$</v>
      </c>
      <c r="X167" s="156">
        <f>+VLOOKUP($L167,Data_Validation!$A:$F,6,0)</f>
        <v>0</v>
      </c>
    </row>
    <row r="168" spans="1:24" ht="15.75" hidden="1" customHeight="1">
      <c r="A168" s="1012" t="s">
        <v>536</v>
      </c>
      <c r="B168" s="1012" t="s">
        <v>2185</v>
      </c>
      <c r="C168" s="1014">
        <v>-1012</v>
      </c>
      <c r="D168" s="1014">
        <v>722</v>
      </c>
      <c r="E168" s="1014">
        <v>-290</v>
      </c>
      <c r="F168" s="1012" t="s">
        <v>282</v>
      </c>
      <c r="G168" s="1012" t="s">
        <v>2162</v>
      </c>
      <c r="H168" s="1013"/>
      <c r="I168" s="1013"/>
      <c r="J168" s="1013"/>
      <c r="K168" s="1013"/>
      <c r="L168" s="153" t="str">
        <f t="shared" si="0"/>
        <v>2344</v>
      </c>
      <c r="M168" s="154" t="str">
        <f t="shared" si="1"/>
        <v>CENTRAIDE</v>
      </c>
      <c r="N168" s="155">
        <f>+IF(OR($Q168=Parametres!$G$2,$Q168=Parametres!$G$3),I168,C168)</f>
        <v>-1012</v>
      </c>
      <c r="O168" s="155">
        <f>+IF(OR($Q168=Parametres!$G$2,$Q168=Parametres!$G$3),J168,D168)</f>
        <v>722</v>
      </c>
      <c r="P168" s="155">
        <f>+IF(OR($Q168=Parametres!$G$2,$Q168=Parametres!$G$3),K168,E168)</f>
        <v>-290</v>
      </c>
      <c r="Q168" s="154" t="str">
        <f t="shared" si="12"/>
        <v>3-Passifs</v>
      </c>
      <c r="R168" s="153" t="str">
        <f t="shared" si="12"/>
        <v>2315</v>
      </c>
      <c r="S168" s="154">
        <f t="shared" si="12"/>
        <v>0</v>
      </c>
      <c r="T168" s="156" t="str">
        <f>+VLOOKUP($L168,Data_Validation!$A:$D,1,0)</f>
        <v>2344</v>
      </c>
      <c r="U168" s="156" t="str">
        <f>+VLOOKUP($L168,Data_Validation!$A:$D,3,0)</f>
        <v>Bilan</v>
      </c>
      <c r="V168" s="156" t="str">
        <f>+VLOOKUP($L168,Data_Validation!$A:$D,4,0)</f>
        <v>DAS à Payer</v>
      </c>
      <c r="W168" s="156" t="str">
        <f>+VLOOKUP($L168,Data_Validation!$A:$E,5,0)</f>
        <v>$</v>
      </c>
      <c r="X168" s="156">
        <f>+VLOOKUP($L168,Data_Validation!$A:$F,6,0)</f>
        <v>0</v>
      </c>
    </row>
    <row r="169" spans="1:24" ht="15" hidden="1" customHeight="1">
      <c r="A169" s="1012" t="s">
        <v>2193</v>
      </c>
      <c r="B169" s="1012" t="s">
        <v>2194</v>
      </c>
      <c r="C169" s="1034">
        <v>-12100</v>
      </c>
      <c r="D169" s="1034">
        <v>-6800</v>
      </c>
      <c r="E169" s="1034">
        <v>-18900</v>
      </c>
      <c r="F169" s="1012" t="s">
        <v>282</v>
      </c>
      <c r="G169" s="1012" t="s">
        <v>2194</v>
      </c>
      <c r="H169" s="1013"/>
      <c r="I169" s="1014"/>
      <c r="J169" s="1014"/>
      <c r="K169" s="1014"/>
      <c r="L169" s="153" t="str">
        <f t="shared" si="0"/>
        <v>2401</v>
      </c>
      <c r="M169" s="154" t="str">
        <f t="shared" si="1"/>
        <v>DEPOTS FIDUCIE-VENTE CLIENTS</v>
      </c>
      <c r="N169" s="155">
        <f>+IF(OR($Q169=Parametres!$G$2,$Q169=Parametres!$G$3),I169,C169)</f>
        <v>-12100</v>
      </c>
      <c r="O169" s="155">
        <f>+IF(OR($Q169=Parametres!$G$2,$Q169=Parametres!$G$3),J169,D169)</f>
        <v>-6800</v>
      </c>
      <c r="P169" s="155">
        <f>+IF(OR($Q169=Parametres!$G$2,$Q169=Parametres!$G$3),K169,E169)</f>
        <v>-18900</v>
      </c>
      <c r="Q169" s="154" t="str">
        <f t="shared" si="12"/>
        <v>3-Passifs</v>
      </c>
      <c r="R169" s="153" t="str">
        <f t="shared" si="12"/>
        <v>2401</v>
      </c>
      <c r="S169" s="154">
        <f t="shared" si="12"/>
        <v>0</v>
      </c>
      <c r="T169" s="156" t="str">
        <f>+VLOOKUP($L169,Data_Validation!$A:$D,1,0)</f>
        <v>2401</v>
      </c>
      <c r="U169" s="156" t="str">
        <f>+VLOOKUP($L169,Data_Validation!$A:$D,3,0)</f>
        <v>Bilan</v>
      </c>
      <c r="V169" s="156" t="str">
        <f>+VLOOKUP($L169,Data_Validation!$A:$D,4,0)</f>
        <v>Dépôts de Client</v>
      </c>
      <c r="W169" s="156" t="str">
        <f>+VLOOKUP($L169,Data_Validation!$A:$E,5,0)</f>
        <v>$</v>
      </c>
      <c r="X169" s="156">
        <f>+VLOOKUP($L169,Data_Validation!$A:$F,6,0)</f>
        <v>0</v>
      </c>
    </row>
    <row r="170" spans="1:24" ht="15" hidden="1" customHeight="1">
      <c r="A170" s="1012" t="s">
        <v>2600</v>
      </c>
      <c r="B170" s="1012" t="s">
        <v>2601</v>
      </c>
      <c r="C170" s="1014">
        <v>-5557.33</v>
      </c>
      <c r="D170" s="1014">
        <v>-8070.97</v>
      </c>
      <c r="E170" s="1014">
        <v>-13628.3</v>
      </c>
      <c r="F170" s="1012" t="s">
        <v>282</v>
      </c>
      <c r="G170" s="1012" t="s">
        <v>2601</v>
      </c>
      <c r="H170" s="1013"/>
      <c r="I170" s="1013"/>
      <c r="J170" s="1013"/>
      <c r="K170" s="1013"/>
      <c r="L170" s="153" t="str">
        <f t="shared" si="0"/>
        <v>2501</v>
      </c>
      <c r="M170" s="154" t="str">
        <f t="shared" si="1"/>
        <v>COMMISSION A PAYER</v>
      </c>
      <c r="N170" s="155">
        <f>+IF(OR($Q170=Parametres!$G$2,$Q170=Parametres!$G$3),I170,C170)</f>
        <v>-5557.33</v>
      </c>
      <c r="O170" s="155">
        <f>+IF(OR($Q170=Parametres!$G$2,$Q170=Parametres!$G$3),J170,D170)</f>
        <v>-8070.97</v>
      </c>
      <c r="P170" s="155">
        <f>+IF(OR($Q170=Parametres!$G$2,$Q170=Parametres!$G$3),K170,E170)</f>
        <v>-13628.3</v>
      </c>
      <c r="Q170" s="154" t="str">
        <f t="shared" si="12"/>
        <v>3-Passifs</v>
      </c>
      <c r="R170" s="153" t="str">
        <f t="shared" si="12"/>
        <v>2501</v>
      </c>
      <c r="S170" s="154">
        <f t="shared" si="12"/>
        <v>0</v>
      </c>
      <c r="T170" s="156" t="str">
        <f>+VLOOKUP($L170,Data_Validation!$A:$D,1,0)</f>
        <v>2501</v>
      </c>
      <c r="U170" s="156" t="str">
        <f>+VLOOKUP($L170,Data_Validation!$A:$D,3,0)</f>
        <v>Bilan</v>
      </c>
      <c r="V170" s="156" t="str">
        <f>+VLOOKUP($L170,Data_Validation!$A:$D,4,0)</f>
        <v>Salaires à Payer</v>
      </c>
      <c r="W170" s="156" t="str">
        <f>+VLOOKUP($L170,Data_Validation!$A:$E,5,0)</f>
        <v>$</v>
      </c>
      <c r="X170" s="156">
        <f>+VLOOKUP($L170,Data_Validation!$A:$F,6,0)</f>
        <v>0</v>
      </c>
    </row>
    <row r="171" spans="1:24" ht="15" hidden="1" customHeight="1">
      <c r="A171" s="1012" t="s">
        <v>2058</v>
      </c>
      <c r="B171" s="1012" t="s">
        <v>2059</v>
      </c>
      <c r="C171" s="1034">
        <v>-57287.33</v>
      </c>
      <c r="D171" s="1034">
        <v>-32136.21</v>
      </c>
      <c r="E171" s="1034">
        <v>-89423.54</v>
      </c>
      <c r="F171" s="1012" t="s">
        <v>282</v>
      </c>
      <c r="G171" s="1012" t="s">
        <v>2059</v>
      </c>
      <c r="H171" s="1013"/>
      <c r="I171" s="1014"/>
      <c r="J171" s="1014"/>
      <c r="K171" s="1014"/>
      <c r="L171" s="153" t="str">
        <f t="shared" si="0"/>
        <v>2503</v>
      </c>
      <c r="M171" s="154" t="str">
        <f t="shared" si="1"/>
        <v>SALAIRES DES EMPLOYES</v>
      </c>
      <c r="N171" s="155">
        <f>+IF(OR($Q171=Parametres!$G$2,$Q171=Parametres!$G$3),I171,C171)</f>
        <v>-57287.33</v>
      </c>
      <c r="O171" s="155">
        <f>+IF(OR($Q171=Parametres!$G$2,$Q171=Parametres!$G$3),J171,D171)</f>
        <v>-32136.21</v>
      </c>
      <c r="P171" s="155">
        <f>+IF(OR($Q171=Parametres!$G$2,$Q171=Parametres!$G$3),K171,E171)</f>
        <v>-89423.54</v>
      </c>
      <c r="Q171" s="154" t="str">
        <f t="shared" si="12"/>
        <v>3-Passifs</v>
      </c>
      <c r="R171" s="153" t="str">
        <f t="shared" si="12"/>
        <v>2503</v>
      </c>
      <c r="S171" s="154">
        <f t="shared" si="12"/>
        <v>0</v>
      </c>
      <c r="T171" s="156" t="str">
        <f>+VLOOKUP($L171,Data_Validation!$A:$D,1,0)</f>
        <v>2503</v>
      </c>
      <c r="U171" s="156" t="str">
        <f>+VLOOKUP($L171,Data_Validation!$A:$D,3,0)</f>
        <v>Bilan</v>
      </c>
      <c r="V171" s="156" t="str">
        <f>+VLOOKUP($L171,Data_Validation!$A:$D,4,0)</f>
        <v>Salaires à Payer</v>
      </c>
      <c r="W171" s="156" t="str">
        <f>+VLOOKUP($L171,Data_Validation!$A:$E,5,0)</f>
        <v>$</v>
      </c>
      <c r="X171" s="156">
        <f>+VLOOKUP($L171,Data_Validation!$A:$F,6,0)</f>
        <v>0</v>
      </c>
    </row>
    <row r="172" spans="1:24" ht="15.75" hidden="1" customHeight="1">
      <c r="A172" s="1012" t="s">
        <v>2098</v>
      </c>
      <c r="B172" s="1012" t="s">
        <v>2099</v>
      </c>
      <c r="C172" s="1014">
        <v>-47604.74</v>
      </c>
      <c r="D172" s="1014">
        <v>-20945.57</v>
      </c>
      <c r="E172" s="1014">
        <v>-68550.31</v>
      </c>
      <c r="F172" s="1012" t="s">
        <v>282</v>
      </c>
      <c r="G172" s="1012" t="s">
        <v>2059</v>
      </c>
      <c r="H172" s="1013"/>
      <c r="I172" s="1013"/>
      <c r="J172" s="1013"/>
      <c r="K172" s="1013"/>
      <c r="L172" s="153" t="str">
        <f t="shared" si="0"/>
        <v>2505</v>
      </c>
      <c r="M172" s="154" t="str">
        <f t="shared" si="1"/>
        <v>JOURS FERIES</v>
      </c>
      <c r="N172" s="155">
        <f>+IF(OR($Q172=Parametres!$G$2,$Q172=Parametres!$G$3),I172,C172)</f>
        <v>-47604.74</v>
      </c>
      <c r="O172" s="155">
        <f>+IF(OR($Q172=Parametres!$G$2,$Q172=Parametres!$G$3),J172,D172)</f>
        <v>-20945.57</v>
      </c>
      <c r="P172" s="155">
        <f>+IF(OR($Q172=Parametres!$G$2,$Q172=Parametres!$G$3),K172,E172)</f>
        <v>-68550.31</v>
      </c>
      <c r="Q172" s="154" t="str">
        <f t="shared" si="12"/>
        <v>3-Passifs</v>
      </c>
      <c r="R172" s="153" t="str">
        <f t="shared" si="12"/>
        <v>2503</v>
      </c>
      <c r="S172" s="154">
        <f t="shared" si="12"/>
        <v>0</v>
      </c>
      <c r="T172" s="156" t="str">
        <f>+VLOOKUP($L172,Data_Validation!$A:$D,1,0)</f>
        <v>2505</v>
      </c>
      <c r="U172" s="156" t="str">
        <f>+VLOOKUP($L172,Data_Validation!$A:$D,3,0)</f>
        <v>Bilan</v>
      </c>
      <c r="V172" s="156" t="str">
        <f>+VLOOKUP($L172,Data_Validation!$A:$D,4,0)</f>
        <v>Salaires à Payer</v>
      </c>
      <c r="W172" s="156" t="str">
        <f>+VLOOKUP($L172,Data_Validation!$A:$E,5,0)</f>
        <v>$</v>
      </c>
      <c r="X172" s="156">
        <f>+VLOOKUP($L172,Data_Validation!$A:$F,6,0)</f>
        <v>0</v>
      </c>
    </row>
    <row r="173" spans="1:24" ht="15" hidden="1" customHeight="1">
      <c r="A173" s="1012" t="s">
        <v>2094</v>
      </c>
      <c r="B173" s="1012" t="s">
        <v>2095</v>
      </c>
      <c r="C173" s="1034">
        <v>-161820.29</v>
      </c>
      <c r="D173" s="1034">
        <v>34275.74</v>
      </c>
      <c r="E173" s="1034">
        <v>-127544.55</v>
      </c>
      <c r="F173" s="1012" t="s">
        <v>282</v>
      </c>
      <c r="G173" s="1012" t="s">
        <v>2059</v>
      </c>
      <c r="H173" s="1013"/>
      <c r="I173" s="1014"/>
      <c r="J173" s="1014"/>
      <c r="K173" s="1014"/>
      <c r="L173" s="153" t="str">
        <f t="shared" si="0"/>
        <v>2509</v>
      </c>
      <c r="M173" s="154" t="str">
        <f t="shared" si="1"/>
        <v>SALAIRES DE VACANCES</v>
      </c>
      <c r="N173" s="155">
        <f>+IF(OR($Q173=Parametres!$G$2,$Q173=Parametres!$G$3),I173,C173)</f>
        <v>-161820.29</v>
      </c>
      <c r="O173" s="155">
        <f>+IF(OR($Q173=Parametres!$G$2,$Q173=Parametres!$G$3),J173,D173)</f>
        <v>34275.74</v>
      </c>
      <c r="P173" s="155">
        <f>+IF(OR($Q173=Parametres!$G$2,$Q173=Parametres!$G$3),K173,E173)</f>
        <v>-127544.55</v>
      </c>
      <c r="Q173" s="154" t="str">
        <f t="shared" si="12"/>
        <v>3-Passifs</v>
      </c>
      <c r="R173" s="153" t="str">
        <f t="shared" si="12"/>
        <v>2503</v>
      </c>
      <c r="S173" s="154">
        <f t="shared" si="12"/>
        <v>0</v>
      </c>
      <c r="T173" s="156" t="str">
        <f>+VLOOKUP($L173,Data_Validation!$A:$D,1,0)</f>
        <v>2509</v>
      </c>
      <c r="U173" s="156" t="str">
        <f>+VLOOKUP($L173,Data_Validation!$A:$D,3,0)</f>
        <v>Bilan</v>
      </c>
      <c r="V173" s="156" t="str">
        <f>+VLOOKUP($L173,Data_Validation!$A:$D,4,0)</f>
        <v>Salaires à Payer</v>
      </c>
      <c r="W173" s="156" t="str">
        <f>+VLOOKUP($L173,Data_Validation!$A:$E,5,0)</f>
        <v>$</v>
      </c>
      <c r="X173" s="156">
        <f>+VLOOKUP($L173,Data_Validation!$A:$F,6,0)</f>
        <v>0</v>
      </c>
    </row>
    <row r="174" spans="1:24" ht="15" hidden="1" customHeight="1">
      <c r="A174" s="1012" t="s">
        <v>2188</v>
      </c>
      <c r="B174" s="1012" t="s">
        <v>2189</v>
      </c>
      <c r="C174" s="1014">
        <v>15053.13</v>
      </c>
      <c r="D174" s="1014">
        <v>121.76</v>
      </c>
      <c r="E174" s="1014">
        <v>15174.89</v>
      </c>
      <c r="F174" s="1012" t="s">
        <v>282</v>
      </c>
      <c r="G174" s="1012" t="s">
        <v>2059</v>
      </c>
      <c r="H174" s="1013"/>
      <c r="I174" s="1013"/>
      <c r="J174" s="1013"/>
      <c r="K174" s="1013"/>
      <c r="L174" s="153" t="str">
        <f t="shared" si="0"/>
        <v>2511</v>
      </c>
      <c r="M174" s="154" t="str">
        <f t="shared" si="1"/>
        <v>JOURNEE MALADIE</v>
      </c>
      <c r="N174" s="155">
        <f>+IF(OR($Q174=Parametres!$G$2,$Q174=Parametres!$G$3),I174,C174)</f>
        <v>15053.13</v>
      </c>
      <c r="O174" s="155">
        <f>+IF(OR($Q174=Parametres!$G$2,$Q174=Parametres!$G$3),J174,D174)</f>
        <v>121.76</v>
      </c>
      <c r="P174" s="155">
        <f>+IF(OR($Q174=Parametres!$G$2,$Q174=Parametres!$G$3),K174,E174)</f>
        <v>15174.89</v>
      </c>
      <c r="Q174" s="154" t="str">
        <f t="shared" si="12"/>
        <v>3-Passifs</v>
      </c>
      <c r="R174" s="153" t="str">
        <f t="shared" si="12"/>
        <v>2503</v>
      </c>
      <c r="S174" s="154">
        <f t="shared" si="12"/>
        <v>0</v>
      </c>
      <c r="T174" s="156" t="str">
        <f>+VLOOKUP($L174,Data_Validation!$A:$D,1,0)</f>
        <v>2511</v>
      </c>
      <c r="U174" s="156" t="str">
        <f>+VLOOKUP($L174,Data_Validation!$A:$D,3,0)</f>
        <v>Bilan</v>
      </c>
      <c r="V174" s="156" t="str">
        <f>+VLOOKUP($L174,Data_Validation!$A:$D,4,0)</f>
        <v>Salaires à Payer</v>
      </c>
      <c r="W174" s="156" t="str">
        <f>+VLOOKUP($L174,Data_Validation!$A:$E,5,0)</f>
        <v>$</v>
      </c>
      <c r="X174" s="156">
        <f>+VLOOKUP($L174,Data_Validation!$A:$F,6,0)</f>
        <v>0</v>
      </c>
    </row>
    <row r="175" spans="1:24" ht="15" hidden="1" customHeight="1">
      <c r="A175" s="1012" t="s">
        <v>2689</v>
      </c>
      <c r="B175" s="1012" t="s">
        <v>2690</v>
      </c>
      <c r="C175" s="1034">
        <v>-48456.75</v>
      </c>
      <c r="D175" s="1034">
        <v>1317.5</v>
      </c>
      <c r="E175" s="1034">
        <v>-47139.25</v>
      </c>
      <c r="F175" s="1012" t="s">
        <v>282</v>
      </c>
      <c r="G175" s="1012" t="s">
        <v>2690</v>
      </c>
      <c r="H175" s="1013"/>
      <c r="I175" s="1014"/>
      <c r="J175" s="1014"/>
      <c r="K175" s="1014"/>
      <c r="L175" s="153" t="str">
        <f t="shared" si="0"/>
        <v>2801</v>
      </c>
      <c r="M175" s="154" t="str">
        <f t="shared" si="1"/>
        <v>PRET CIBC</v>
      </c>
      <c r="N175" s="155">
        <f>+IF(OR($Q175=Parametres!$G$2,$Q175=Parametres!$G$3),I175,C175)</f>
        <v>-48456.75</v>
      </c>
      <c r="O175" s="155">
        <f>+IF(OR($Q175=Parametres!$G$2,$Q175=Parametres!$G$3),J175,D175)</f>
        <v>1317.5</v>
      </c>
      <c r="P175" s="155">
        <f>+IF(OR($Q175=Parametres!$G$2,$Q175=Parametres!$G$3),K175,E175)</f>
        <v>-47139.25</v>
      </c>
      <c r="Q175" s="154" t="str">
        <f t="shared" si="12"/>
        <v>3-Passifs</v>
      </c>
      <c r="R175" s="153" t="str">
        <f t="shared" si="12"/>
        <v>2801</v>
      </c>
      <c r="S175" s="154">
        <f t="shared" si="12"/>
        <v>0</v>
      </c>
      <c r="T175" s="156" t="str">
        <f>+VLOOKUP($L175,Data_Validation!$A:$D,1,0)</f>
        <v>2801</v>
      </c>
      <c r="U175" s="156" t="str">
        <f>+VLOOKUP($L175,Data_Validation!$A:$D,3,0)</f>
        <v>Bilan</v>
      </c>
      <c r="V175" s="156" t="str">
        <f>+VLOOKUP($L175,Data_Validation!$A:$D,4,0)</f>
        <v>Dette à Long Terme</v>
      </c>
      <c r="W175" s="156" t="str">
        <f>+VLOOKUP($L175,Data_Validation!$A:$E,5,0)</f>
        <v>$</v>
      </c>
      <c r="X175" s="156">
        <f>+VLOOKUP($L175,Data_Validation!$A:$F,6,0)</f>
        <v>0</v>
      </c>
    </row>
    <row r="176" spans="1:24" ht="15.75" hidden="1" customHeight="1">
      <c r="A176" s="1012" t="s">
        <v>827</v>
      </c>
      <c r="B176" s="1012" t="s">
        <v>2190</v>
      </c>
      <c r="C176" s="1014">
        <v>-21654.44</v>
      </c>
      <c r="D176" s="1014">
        <v>-201.35</v>
      </c>
      <c r="E176" s="1014">
        <v>-21855.79</v>
      </c>
      <c r="F176" s="1012" t="s">
        <v>282</v>
      </c>
      <c r="G176" s="1012" t="s">
        <v>2190</v>
      </c>
      <c r="H176" s="1013"/>
      <c r="I176" s="1013"/>
      <c r="J176" s="1013"/>
      <c r="K176" s="1013"/>
      <c r="L176" s="153" t="str">
        <f t="shared" si="0"/>
        <v>2901</v>
      </c>
      <c r="M176" s="154" t="str">
        <f t="shared" si="1"/>
        <v>RESERVE CARTES PRIVILEGE</v>
      </c>
      <c r="N176" s="155">
        <f>+IF(OR($Q176=Parametres!$G$2,$Q176=Parametres!$G$3),I176,C176)</f>
        <v>-21654.44</v>
      </c>
      <c r="O176" s="155">
        <f>+IF(OR($Q176=Parametres!$G$2,$Q176=Parametres!$G$3),J176,D176)</f>
        <v>-201.35</v>
      </c>
      <c r="P176" s="155">
        <f>+IF(OR($Q176=Parametres!$G$2,$Q176=Parametres!$G$3),K176,E176)</f>
        <v>-21855.79</v>
      </c>
      <c r="Q176" s="154" t="str">
        <f t="shared" si="12"/>
        <v>3-Passifs</v>
      </c>
      <c r="R176" s="153" t="str">
        <f t="shared" si="12"/>
        <v>2901</v>
      </c>
      <c r="S176" s="154">
        <f t="shared" si="12"/>
        <v>0</v>
      </c>
      <c r="T176" s="156" t="str">
        <f>+VLOOKUP($L176,Data_Validation!$A:$D,1,0)</f>
        <v>2901</v>
      </c>
      <c r="U176" s="156" t="str">
        <f>+VLOOKUP($L176,Data_Validation!$A:$D,3,0)</f>
        <v>Bilan</v>
      </c>
      <c r="V176" s="156" t="str">
        <f>+VLOOKUP($L176,Data_Validation!$A:$D,4,0)</f>
        <v>Autres Courus</v>
      </c>
      <c r="W176" s="156" t="str">
        <f>+VLOOKUP($L176,Data_Validation!$A:$E,5,0)</f>
        <v>$</v>
      </c>
      <c r="X176" s="156">
        <f>+VLOOKUP($L176,Data_Validation!$A:$F,6,0)</f>
        <v>0</v>
      </c>
    </row>
    <row r="177" spans="1:24" ht="15" hidden="1" customHeight="1">
      <c r="A177" s="1012" t="s">
        <v>2423</v>
      </c>
      <c r="B177" s="1012" t="s">
        <v>2424</v>
      </c>
      <c r="C177" s="1034">
        <v>-2350000</v>
      </c>
      <c r="D177" s="1034">
        <v>0</v>
      </c>
      <c r="E177" s="1034">
        <v>-2350000</v>
      </c>
      <c r="F177" s="1012" t="s">
        <v>831</v>
      </c>
      <c r="G177" s="1012" t="s">
        <v>2424</v>
      </c>
      <c r="H177" s="1013"/>
      <c r="I177" s="1014"/>
      <c r="J177" s="1014"/>
      <c r="K177" s="1014"/>
      <c r="L177" s="153" t="str">
        <f t="shared" si="0"/>
        <v>3001</v>
      </c>
      <c r="M177" s="154" t="str">
        <f t="shared" si="1"/>
        <v>ACTIONS CATEGORIE 1</v>
      </c>
      <c r="N177" s="155">
        <f>+IF(OR($Q177=Parametres!$G$2,$Q177=Parametres!$G$3),I177,C177)</f>
        <v>-2350000</v>
      </c>
      <c r="O177" s="155">
        <f>+IF(OR($Q177=Parametres!$G$2,$Q177=Parametres!$G$3),J177,D177)</f>
        <v>0</v>
      </c>
      <c r="P177" s="155">
        <f>+IF(OR($Q177=Parametres!$G$2,$Q177=Parametres!$G$3),K177,E177)</f>
        <v>-2350000</v>
      </c>
      <c r="Q177" s="154" t="str">
        <f t="shared" si="12"/>
        <v>4-Valeur nette</v>
      </c>
      <c r="R177" s="153" t="str">
        <f t="shared" si="12"/>
        <v>3001</v>
      </c>
      <c r="S177" s="154">
        <f t="shared" si="12"/>
        <v>0</v>
      </c>
      <c r="T177" s="156" t="str">
        <f>+VLOOKUP($L177,Data_Validation!$A:$D,1,0)</f>
        <v>3001</v>
      </c>
      <c r="U177" s="156" t="str">
        <f>+VLOOKUP($L177,Data_Validation!$A:$D,3,0)</f>
        <v>Bilan</v>
      </c>
      <c r="V177" s="156" t="str">
        <f>+VLOOKUP($L177,Data_Validation!$A:$D,4,0)</f>
        <v>Capital Actions</v>
      </c>
      <c r="W177" s="156" t="str">
        <f>+VLOOKUP($L177,Data_Validation!$A:$E,5,0)</f>
        <v>$</v>
      </c>
      <c r="X177" s="156">
        <f>+VLOOKUP($L177,Data_Validation!$A:$F,6,0)</f>
        <v>0</v>
      </c>
    </row>
    <row r="178" spans="1:24" ht="15" hidden="1" customHeight="1">
      <c r="A178" s="1012" t="s">
        <v>2425</v>
      </c>
      <c r="B178" s="1012" t="s">
        <v>2426</v>
      </c>
      <c r="C178" s="1014">
        <v>-1846000</v>
      </c>
      <c r="D178" s="1014">
        <v>0</v>
      </c>
      <c r="E178" s="1014">
        <v>-1846000</v>
      </c>
      <c r="F178" s="1012" t="s">
        <v>831</v>
      </c>
      <c r="G178" s="1012" t="s">
        <v>2424</v>
      </c>
      <c r="H178" s="1013"/>
      <c r="I178" s="1013"/>
      <c r="J178" s="1013"/>
      <c r="K178" s="1013"/>
      <c r="L178" s="153" t="str">
        <f t="shared" si="0"/>
        <v>3003</v>
      </c>
      <c r="M178" s="154" t="str">
        <f t="shared" si="1"/>
        <v>APPORT / RETRAIT</v>
      </c>
      <c r="N178" s="155">
        <f>+IF(OR($Q178=Parametres!$G$2,$Q178=Parametres!$G$3),I178,C178)</f>
        <v>-1846000</v>
      </c>
      <c r="O178" s="155">
        <f>+IF(OR($Q178=Parametres!$G$2,$Q178=Parametres!$G$3),J178,D178)</f>
        <v>0</v>
      </c>
      <c r="P178" s="155">
        <f>+IF(OR($Q178=Parametres!$G$2,$Q178=Parametres!$G$3),K178,E178)</f>
        <v>-1846000</v>
      </c>
      <c r="Q178" s="154" t="str">
        <f t="shared" ref="Q178:S193" si="13">+F178</f>
        <v>4-Valeur nette</v>
      </c>
      <c r="R178" s="153" t="str">
        <f t="shared" si="13"/>
        <v>3001</v>
      </c>
      <c r="S178" s="154">
        <f t="shared" si="13"/>
        <v>0</v>
      </c>
      <c r="T178" s="156" t="str">
        <f>+VLOOKUP($L178,Data_Validation!$A:$D,1,0)</f>
        <v>3003</v>
      </c>
      <c r="U178" s="156" t="str">
        <f>+VLOOKUP($L178,Data_Validation!$A:$D,3,0)</f>
        <v>Bilan</v>
      </c>
      <c r="V178" s="156" t="str">
        <f>+VLOOKUP($L178,Data_Validation!$A:$D,4,0)</f>
        <v>Apport</v>
      </c>
      <c r="W178" s="156" t="str">
        <f>+VLOOKUP($L178,Data_Validation!$A:$E,5,0)</f>
        <v>$</v>
      </c>
      <c r="X178" s="156">
        <f>+VLOOKUP($L178,Data_Validation!$A:$F,6,0)</f>
        <v>0</v>
      </c>
    </row>
    <row r="179" spans="1:24" ht="15" hidden="1" customHeight="1">
      <c r="A179" s="1012" t="s">
        <v>2427</v>
      </c>
      <c r="B179" s="1012" t="s">
        <v>2428</v>
      </c>
      <c r="C179" s="1034">
        <v>-347547.5</v>
      </c>
      <c r="D179" s="1034">
        <v>0</v>
      </c>
      <c r="E179" s="1034">
        <v>-347547.5</v>
      </c>
      <c r="F179" s="1012" t="s">
        <v>831</v>
      </c>
      <c r="G179" s="1012" t="s">
        <v>2424</v>
      </c>
      <c r="H179" s="1013"/>
      <c r="I179" s="1014"/>
      <c r="J179" s="1014"/>
      <c r="K179" s="1014"/>
      <c r="L179" s="153" t="str">
        <f t="shared" si="0"/>
        <v>3007</v>
      </c>
      <c r="M179" s="154" t="str">
        <f t="shared" si="1"/>
        <v>ACTIONS PARTICIPANTES</v>
      </c>
      <c r="N179" s="155">
        <f>+IF(OR($Q179=Parametres!$G$2,$Q179=Parametres!$G$3),I179,C179)</f>
        <v>-347547.5</v>
      </c>
      <c r="O179" s="155">
        <f>+IF(OR($Q179=Parametres!$G$2,$Q179=Parametres!$G$3),J179,D179)</f>
        <v>0</v>
      </c>
      <c r="P179" s="155">
        <f>+IF(OR($Q179=Parametres!$G$2,$Q179=Parametres!$G$3),K179,E179)</f>
        <v>-347547.5</v>
      </c>
      <c r="Q179" s="154" t="str">
        <f t="shared" si="13"/>
        <v>4-Valeur nette</v>
      </c>
      <c r="R179" s="153" t="str">
        <f t="shared" si="13"/>
        <v>3001</v>
      </c>
      <c r="S179" s="154">
        <f t="shared" si="13"/>
        <v>0</v>
      </c>
      <c r="T179" s="156" t="str">
        <f>+VLOOKUP($L179,Data_Validation!$A:$D,1,0)</f>
        <v>3007</v>
      </c>
      <c r="U179" s="156" t="str">
        <f>+VLOOKUP($L179,Data_Validation!$A:$D,3,0)</f>
        <v>Bilan</v>
      </c>
      <c r="V179" s="156" t="str">
        <f>+VLOOKUP($L179,Data_Validation!$A:$D,4,0)</f>
        <v>Capital Actions</v>
      </c>
      <c r="W179" s="156">
        <f>+VLOOKUP($L179,Data_Validation!$A:$E,5,0)</f>
        <v>0</v>
      </c>
      <c r="X179" s="156">
        <f>+VLOOKUP($L179,Data_Validation!$A:$F,6,0)</f>
        <v>0</v>
      </c>
    </row>
    <row r="180" spans="1:24" ht="15" hidden="1" customHeight="1">
      <c r="A180" s="1012" t="s">
        <v>2429</v>
      </c>
      <c r="B180" s="1012" t="s">
        <v>2430</v>
      </c>
      <c r="C180" s="1014">
        <v>-231711.86</v>
      </c>
      <c r="D180" s="1014">
        <v>0</v>
      </c>
      <c r="E180" s="1014">
        <v>-231711.86</v>
      </c>
      <c r="F180" s="1012" t="s">
        <v>831</v>
      </c>
      <c r="G180" s="1012" t="s">
        <v>2424</v>
      </c>
      <c r="H180" s="1013"/>
      <c r="I180" s="1013"/>
      <c r="J180" s="1013"/>
      <c r="K180" s="1013"/>
      <c r="L180" s="153" t="str">
        <f t="shared" si="0"/>
        <v>3201</v>
      </c>
      <c r="M180" s="154" t="str">
        <f t="shared" si="1"/>
        <v>BENEFICES NON-REPARTIS</v>
      </c>
      <c r="N180" s="155">
        <f>+IF(OR($Q180=Parametres!$G$2,$Q180=Parametres!$G$3),I180,C180)</f>
        <v>-231711.86</v>
      </c>
      <c r="O180" s="155">
        <f>+IF(OR($Q180=Parametres!$G$2,$Q180=Parametres!$G$3),J180,D180)</f>
        <v>0</v>
      </c>
      <c r="P180" s="155">
        <f>+IF(OR($Q180=Parametres!$G$2,$Q180=Parametres!$G$3),K180,E180)</f>
        <v>-231711.86</v>
      </c>
      <c r="Q180" s="154" t="str">
        <f t="shared" si="13"/>
        <v>4-Valeur nette</v>
      </c>
      <c r="R180" s="153" t="str">
        <f t="shared" si="13"/>
        <v>3001</v>
      </c>
      <c r="S180" s="154">
        <f t="shared" si="13"/>
        <v>0</v>
      </c>
      <c r="T180" s="156" t="str">
        <f>+VLOOKUP($L180,Data_Validation!$A:$D,1,0)</f>
        <v>3201</v>
      </c>
      <c r="U180" s="156" t="str">
        <f>+VLOOKUP($L180,Data_Validation!$A:$D,3,0)</f>
        <v>Bilan</v>
      </c>
      <c r="V180" s="156" t="str">
        <f>+VLOOKUP($L180,Data_Validation!$A:$D,4,0)</f>
        <v>Bénéfices non répartis</v>
      </c>
      <c r="W180" s="156" t="str">
        <f>+VLOOKUP($L180,Data_Validation!$A:$E,5,0)</f>
        <v>$</v>
      </c>
      <c r="X180" s="156">
        <f>+VLOOKUP($L180,Data_Validation!$A:$F,6,0)</f>
        <v>0</v>
      </c>
    </row>
    <row r="181" spans="1:24" ht="15.75" hidden="1" customHeight="1">
      <c r="A181" s="1012" t="s">
        <v>2025</v>
      </c>
      <c r="B181" s="1012" t="s">
        <v>2026</v>
      </c>
      <c r="C181" s="1034">
        <v>-568679.46</v>
      </c>
      <c r="D181" s="1034">
        <v>-117655.43</v>
      </c>
      <c r="E181" s="1034">
        <v>-686334.89</v>
      </c>
      <c r="F181" s="1012" t="s">
        <v>285</v>
      </c>
      <c r="G181" s="1012" t="s">
        <v>2026</v>
      </c>
      <c r="H181" s="1013"/>
      <c r="I181" s="1014"/>
      <c r="J181" s="1014"/>
      <c r="K181" s="1014"/>
      <c r="L181" s="153" t="str">
        <f t="shared" si="0"/>
        <v>4100</v>
      </c>
      <c r="M181" s="154" t="str">
        <f t="shared" si="1"/>
        <v>VTE - RACHAT BAIL VW</v>
      </c>
      <c r="N181" s="155">
        <f>+IF(OR($Q181=Parametres!$G$2,$Q181=Parametres!$G$3),I181,C181)</f>
        <v>-568679.46</v>
      </c>
      <c r="O181" s="155">
        <f>+IF(OR($Q181=Parametres!$G$2,$Q181=Parametres!$G$3),J181,D181)</f>
        <v>-117655.43</v>
      </c>
      <c r="P181" s="155">
        <f>+IF(OR($Q181=Parametres!$G$2,$Q181=Parametres!$G$3),K181,E181)</f>
        <v>-686334.89</v>
      </c>
      <c r="Q181" s="154" t="str">
        <f t="shared" si="13"/>
        <v>5-Ventes</v>
      </c>
      <c r="R181" s="153" t="str">
        <f t="shared" si="13"/>
        <v>4100</v>
      </c>
      <c r="S181" s="154">
        <f t="shared" si="13"/>
        <v>0</v>
      </c>
      <c r="T181" s="156" t="str">
        <f>+VLOOKUP($L181,Data_Validation!$A:$D,1,0)</f>
        <v>4100</v>
      </c>
      <c r="U181" s="156" t="str">
        <f>+VLOOKUP($L181,Data_Validation!$A:$D,3,0)</f>
        <v>Véhicules neufs</v>
      </c>
      <c r="V181" s="156" t="str">
        <f>+VLOOKUP($L181,Data_Validation!$A:$D,4,0)</f>
        <v>Rachat bail</v>
      </c>
      <c r="W181" s="156" t="str">
        <f>+VLOOKUP($L181,Data_Validation!$A:$E,5,0)</f>
        <v>$</v>
      </c>
      <c r="X181" s="156" t="str">
        <f>+VLOOKUP($L181,Data_Validation!$A:$F,6,0)</f>
        <v>Oui</v>
      </c>
    </row>
    <row r="182" spans="1:24" ht="15.75" hidden="1" customHeight="1">
      <c r="A182" s="1012" t="s">
        <v>2482</v>
      </c>
      <c r="B182" s="1012" t="s">
        <v>2483</v>
      </c>
      <c r="C182" s="1014"/>
      <c r="D182" s="1014"/>
      <c r="E182" s="1014"/>
      <c r="F182" s="1012" t="s">
        <v>4</v>
      </c>
      <c r="G182" s="1012" t="s">
        <v>2026</v>
      </c>
      <c r="H182" s="1013"/>
      <c r="I182" s="1013">
        <v>-37</v>
      </c>
      <c r="J182" s="1013">
        <v>-8</v>
      </c>
      <c r="K182" s="1013">
        <v>-45</v>
      </c>
      <c r="L182" s="153" t="str">
        <f t="shared" si="0"/>
        <v>4100@</v>
      </c>
      <c r="M182" s="154" t="str">
        <f t="shared" si="1"/>
        <v>RESERVE</v>
      </c>
      <c r="N182" s="155">
        <f>+IF(OR($Q182=Parametres!$G$2,$Q182=Parametres!$G$3),I182,C182)</f>
        <v>-37</v>
      </c>
      <c r="O182" s="155">
        <f>+IF(OR($Q182=Parametres!$G$2,$Q182=Parametres!$G$3),J182,D182)</f>
        <v>-8</v>
      </c>
      <c r="P182" s="155">
        <f>+IF(OR($Q182=Parametres!$G$2,$Q182=Parametres!$G$3),K182,E182)</f>
        <v>-45</v>
      </c>
      <c r="Q182" s="154" t="str">
        <f t="shared" si="13"/>
        <v>10-Compte compteur</v>
      </c>
      <c r="R182" s="153" t="str">
        <f t="shared" si="13"/>
        <v>4100</v>
      </c>
      <c r="S182" s="154">
        <f t="shared" si="13"/>
        <v>0</v>
      </c>
      <c r="T182" s="156" t="str">
        <f>+VLOOKUP($L182,Data_Validation!$A:$D,1,0)</f>
        <v>4100@</v>
      </c>
      <c r="U182" s="156" t="str">
        <f>+VLOOKUP($L182,Data_Validation!$A:$D,3,0)</f>
        <v>Véhicules neufs</v>
      </c>
      <c r="V182" s="156" t="str">
        <f>+VLOOKUP($L182,Data_Validation!$A:$D,4,0)</f>
        <v>Rachat bail</v>
      </c>
      <c r="W182" s="156" t="str">
        <f>+VLOOKUP($L182,Data_Validation!$A:$E,5,0)</f>
        <v>NB</v>
      </c>
      <c r="X182" s="156">
        <f>+VLOOKUP($L182,Data_Validation!$A:$F,6,0)</f>
        <v>0</v>
      </c>
    </row>
    <row r="183" spans="1:24" ht="15.75" hidden="1" customHeight="1">
      <c r="A183" s="1012" t="s">
        <v>2431</v>
      </c>
      <c r="B183" s="1012" t="s">
        <v>2432</v>
      </c>
      <c r="C183" s="1034">
        <v>-502752.26</v>
      </c>
      <c r="D183" s="1034">
        <v>-65683.91</v>
      </c>
      <c r="E183" s="1034">
        <v>-568436.17000000004</v>
      </c>
      <c r="F183" s="1012" t="s">
        <v>285</v>
      </c>
      <c r="G183" s="1012" t="s">
        <v>2432</v>
      </c>
      <c r="H183" s="1013"/>
      <c r="I183" s="1014"/>
      <c r="J183" s="1014"/>
      <c r="K183" s="1014"/>
      <c r="L183" s="153" t="str">
        <f t="shared" si="0"/>
        <v>4101</v>
      </c>
      <c r="M183" s="154" t="str">
        <f t="shared" si="1"/>
        <v>VTE - NEW BEETLE</v>
      </c>
      <c r="N183" s="155">
        <f>+IF(OR($Q183=Parametres!$G$2,$Q183=Parametres!$G$3),I183,C183)</f>
        <v>-502752.26</v>
      </c>
      <c r="O183" s="155">
        <f>+IF(OR($Q183=Parametres!$G$2,$Q183=Parametres!$G$3),J183,D183)</f>
        <v>-65683.91</v>
      </c>
      <c r="P183" s="155">
        <f>+IF(OR($Q183=Parametres!$G$2,$Q183=Parametres!$G$3),K183,E183)</f>
        <v>-568436.17000000004</v>
      </c>
      <c r="Q183" s="154" t="str">
        <f t="shared" si="13"/>
        <v>5-Ventes</v>
      </c>
      <c r="R183" s="153" t="str">
        <f t="shared" si="13"/>
        <v>4101</v>
      </c>
      <c r="S183" s="154">
        <f t="shared" si="13"/>
        <v>0</v>
      </c>
      <c r="T183" s="156" t="str">
        <f>+VLOOKUP($L183,Data_Validation!$A:$D,1,0)</f>
        <v>4101</v>
      </c>
      <c r="U183" s="156" t="str">
        <f>+VLOOKUP($L183,Data_Validation!$A:$D,3,0)</f>
        <v>Véhicules neufs</v>
      </c>
      <c r="V183" s="156" t="str">
        <f>+VLOOKUP($L183,Data_Validation!$A:$D,4,0)</f>
        <v>Autos détail</v>
      </c>
      <c r="W183" s="156" t="str">
        <f>+VLOOKUP($L183,Data_Validation!$A:$E,5,0)</f>
        <v>$</v>
      </c>
      <c r="X183" s="156" t="str">
        <f>+VLOOKUP($L183,Data_Validation!$A:$F,6,0)</f>
        <v>Oui</v>
      </c>
    </row>
    <row r="184" spans="1:24" ht="15.75" hidden="1" customHeight="1">
      <c r="A184" s="1012" t="s">
        <v>2484</v>
      </c>
      <c r="B184" s="1012" t="s">
        <v>2485</v>
      </c>
      <c r="C184" s="1014"/>
      <c r="D184" s="1014"/>
      <c r="E184" s="1014"/>
      <c r="F184" s="1012" t="s">
        <v>4</v>
      </c>
      <c r="G184" s="1012" t="s">
        <v>2432</v>
      </c>
      <c r="H184" s="1013"/>
      <c r="I184" s="1013">
        <v>-18</v>
      </c>
      <c r="J184" s="1013">
        <v>-2</v>
      </c>
      <c r="K184" s="1013">
        <v>-20</v>
      </c>
      <c r="L184" s="153" t="str">
        <f t="shared" si="0"/>
        <v>4101@</v>
      </c>
      <c r="M184" s="154" t="str">
        <f t="shared" si="1"/>
        <v>VTES NEW BEETLE</v>
      </c>
      <c r="N184" s="155">
        <f>+IF(OR($Q184=Parametres!$G$2,$Q184=Parametres!$G$3),I184,C184)</f>
        <v>-18</v>
      </c>
      <c r="O184" s="155">
        <f>+IF(OR($Q184=Parametres!$G$2,$Q184=Parametres!$G$3),J184,D184)</f>
        <v>-2</v>
      </c>
      <c r="P184" s="155">
        <f>+IF(OR($Q184=Parametres!$G$2,$Q184=Parametres!$G$3),K184,E184)</f>
        <v>-20</v>
      </c>
      <c r="Q184" s="154" t="str">
        <f t="shared" si="13"/>
        <v>10-Compte compteur</v>
      </c>
      <c r="R184" s="153" t="str">
        <f t="shared" si="13"/>
        <v>4101</v>
      </c>
      <c r="S184" s="154">
        <f t="shared" si="13"/>
        <v>0</v>
      </c>
      <c r="T184" s="156" t="str">
        <f>+VLOOKUP($L184,Data_Validation!$A:$D,1,0)</f>
        <v>4101@</v>
      </c>
      <c r="U184" s="156" t="str">
        <f>+VLOOKUP($L184,Data_Validation!$A:$D,3,0)</f>
        <v>Véhicules neufs</v>
      </c>
      <c r="V184" s="156" t="str">
        <f>+VLOOKUP($L184,Data_Validation!$A:$D,4,0)</f>
        <v>Autos détail</v>
      </c>
      <c r="W184" s="156" t="str">
        <f>+VLOOKUP($L184,Data_Validation!$A:$E,5,0)</f>
        <v>NB</v>
      </c>
      <c r="X184" s="156">
        <f>+VLOOKUP($L184,Data_Validation!$A:$F,6,0)</f>
        <v>0</v>
      </c>
    </row>
    <row r="185" spans="1:24" ht="15.75" hidden="1" customHeight="1">
      <c r="A185" s="1012" t="s">
        <v>2433</v>
      </c>
      <c r="B185" s="1012" t="s">
        <v>2434</v>
      </c>
      <c r="C185" s="1034">
        <v>-115489.95</v>
      </c>
      <c r="D185" s="1034">
        <v>0</v>
      </c>
      <c r="E185" s="1034">
        <v>-115489.95</v>
      </c>
      <c r="F185" s="1012" t="s">
        <v>285</v>
      </c>
      <c r="G185" s="1012" t="s">
        <v>2434</v>
      </c>
      <c r="H185" s="1013"/>
      <c r="I185" s="1014"/>
      <c r="J185" s="1014"/>
      <c r="K185" s="1014"/>
      <c r="L185" s="153" t="str">
        <f t="shared" si="0"/>
        <v>4105</v>
      </c>
      <c r="M185" s="154" t="str">
        <f t="shared" si="1"/>
        <v>VTES -VTE - ARTEON</v>
      </c>
      <c r="N185" s="155">
        <f>+IF(OR($Q185=Parametres!$G$2,$Q185=Parametres!$G$3),I185,C185)</f>
        <v>-115489.95</v>
      </c>
      <c r="O185" s="155">
        <f>+IF(OR($Q185=Parametres!$G$2,$Q185=Parametres!$G$3),J185,D185)</f>
        <v>0</v>
      </c>
      <c r="P185" s="155">
        <f>+IF(OR($Q185=Parametres!$G$2,$Q185=Parametres!$G$3),K185,E185)</f>
        <v>-115489.95</v>
      </c>
      <c r="Q185" s="154" t="str">
        <f t="shared" si="13"/>
        <v>5-Ventes</v>
      </c>
      <c r="R185" s="153" t="str">
        <f t="shared" si="13"/>
        <v>4105</v>
      </c>
      <c r="S185" s="154">
        <f t="shared" si="13"/>
        <v>0</v>
      </c>
      <c r="T185" s="156" t="str">
        <f>+VLOOKUP($L185,Data_Validation!$A:$D,1,0)</f>
        <v>4105</v>
      </c>
      <c r="U185" s="156" t="str">
        <f>+VLOOKUP($L185,Data_Validation!$A:$D,3,0)</f>
        <v>Véhicules neufs</v>
      </c>
      <c r="V185" s="156" t="str">
        <f>+VLOOKUP($L185,Data_Validation!$A:$D,4,0)</f>
        <v>Autos détail</v>
      </c>
      <c r="W185" s="156" t="str">
        <f>+VLOOKUP($L185,Data_Validation!$A:$E,5,0)</f>
        <v>$</v>
      </c>
      <c r="X185" s="156" t="str">
        <f>+VLOOKUP($L185,Data_Validation!$A:$F,6,0)</f>
        <v>Oui</v>
      </c>
    </row>
    <row r="186" spans="1:24" ht="15.75" hidden="1" customHeight="1">
      <c r="A186" s="1012" t="s">
        <v>2486</v>
      </c>
      <c r="B186" s="1012" t="s">
        <v>2487</v>
      </c>
      <c r="C186" s="1014"/>
      <c r="D186" s="1014"/>
      <c r="E186" s="1014"/>
      <c r="F186" s="1012" t="s">
        <v>4</v>
      </c>
      <c r="G186" s="1012" t="s">
        <v>2434</v>
      </c>
      <c r="H186" s="1013"/>
      <c r="I186" s="1013">
        <v>-2</v>
      </c>
      <c r="J186" s="1013">
        <v>0</v>
      </c>
      <c r="K186" s="1013">
        <v>-2</v>
      </c>
      <c r="L186" s="153" t="str">
        <f t="shared" si="0"/>
        <v>4105@</v>
      </c>
      <c r="M186" s="154" t="str">
        <f t="shared" si="1"/>
        <v>ROUTAN</v>
      </c>
      <c r="N186" s="155">
        <f>+IF(OR($Q186=Parametres!$G$2,$Q186=Parametres!$G$3),I186,C186)</f>
        <v>-2</v>
      </c>
      <c r="O186" s="155">
        <f>+IF(OR($Q186=Parametres!$G$2,$Q186=Parametres!$G$3),J186,D186)</f>
        <v>0</v>
      </c>
      <c r="P186" s="155">
        <f>+IF(OR($Q186=Parametres!$G$2,$Q186=Parametres!$G$3),K186,E186)</f>
        <v>-2</v>
      </c>
      <c r="Q186" s="154" t="str">
        <f t="shared" si="13"/>
        <v>10-Compte compteur</v>
      </c>
      <c r="R186" s="153" t="str">
        <f t="shared" si="13"/>
        <v>4105</v>
      </c>
      <c r="S186" s="154">
        <f t="shared" si="13"/>
        <v>0</v>
      </c>
      <c r="T186" s="156" t="str">
        <f>+VLOOKUP($L186,Data_Validation!$A:$D,1,0)</f>
        <v>4105@</v>
      </c>
      <c r="U186" s="156" t="str">
        <f>+VLOOKUP($L186,Data_Validation!$A:$D,3,0)</f>
        <v>Véhicules neufs</v>
      </c>
      <c r="V186" s="156" t="str">
        <f>+VLOOKUP($L186,Data_Validation!$A:$D,4,0)</f>
        <v>Autos détail</v>
      </c>
      <c r="W186" s="156" t="str">
        <f>+VLOOKUP($L186,Data_Validation!$A:$E,5,0)</f>
        <v>NB</v>
      </c>
      <c r="X186" s="156">
        <f>+VLOOKUP($L186,Data_Validation!$A:$F,6,0)</f>
        <v>0</v>
      </c>
    </row>
    <row r="187" spans="1:24" ht="15" hidden="1" customHeight="1">
      <c r="A187" s="1012" t="s">
        <v>2018</v>
      </c>
      <c r="B187" s="1012" t="s">
        <v>2019</v>
      </c>
      <c r="C187" s="1034">
        <v>-1368835.18</v>
      </c>
      <c r="D187" s="1034">
        <v>-222874.23999999999</v>
      </c>
      <c r="E187" s="1034">
        <v>-1591709.42</v>
      </c>
      <c r="F187" s="1012" t="s">
        <v>285</v>
      </c>
      <c r="G187" s="1012" t="s">
        <v>2019</v>
      </c>
      <c r="H187" s="1013"/>
      <c r="I187" s="1014"/>
      <c r="J187" s="1014"/>
      <c r="K187" s="1014"/>
      <c r="L187" s="153" t="str">
        <f t="shared" si="0"/>
        <v>4107</v>
      </c>
      <c r="M187" s="154" t="str">
        <f t="shared" si="1"/>
        <v>VTE - GOLF A6</v>
      </c>
      <c r="N187" s="155">
        <f>+IF(OR($Q187=Parametres!$G$2,$Q187=Parametres!$G$3),I187,C187)</f>
        <v>-1368835.18</v>
      </c>
      <c r="O187" s="155">
        <f>+IF(OR($Q187=Parametres!$G$2,$Q187=Parametres!$G$3),J187,D187)</f>
        <v>-222874.23999999999</v>
      </c>
      <c r="P187" s="155">
        <f>+IF(OR($Q187=Parametres!$G$2,$Q187=Parametres!$G$3),K187,E187)</f>
        <v>-1591709.42</v>
      </c>
      <c r="Q187" s="154" t="str">
        <f t="shared" si="13"/>
        <v>5-Ventes</v>
      </c>
      <c r="R187" s="153" t="str">
        <f t="shared" si="13"/>
        <v>4107</v>
      </c>
      <c r="S187" s="154">
        <f t="shared" si="13"/>
        <v>0</v>
      </c>
      <c r="T187" s="156" t="str">
        <f>+VLOOKUP($L187,Data_Validation!$A:$D,1,0)</f>
        <v>4107</v>
      </c>
      <c r="U187" s="156" t="str">
        <f>+VLOOKUP($L187,Data_Validation!$A:$D,3,0)</f>
        <v>Véhicules neufs</v>
      </c>
      <c r="V187" s="156" t="str">
        <f>+VLOOKUP($L187,Data_Validation!$A:$D,4,0)</f>
        <v>Autos détail</v>
      </c>
      <c r="W187" s="156" t="str">
        <f>+VLOOKUP($L187,Data_Validation!$A:$E,5,0)</f>
        <v>$</v>
      </c>
      <c r="X187" s="156" t="str">
        <f>+VLOOKUP($L187,Data_Validation!$A:$F,6,0)</f>
        <v>Oui</v>
      </c>
    </row>
    <row r="188" spans="1:24" ht="15" hidden="1" customHeight="1">
      <c r="A188" s="1012" t="s">
        <v>2488</v>
      </c>
      <c r="B188" s="1012" t="s">
        <v>2489</v>
      </c>
      <c r="C188" s="1014"/>
      <c r="D188" s="1014"/>
      <c r="E188" s="1014"/>
      <c r="F188" s="1012" t="s">
        <v>4</v>
      </c>
      <c r="G188" s="1012" t="s">
        <v>2019</v>
      </c>
      <c r="H188" s="1013"/>
      <c r="I188" s="1013">
        <v>-53</v>
      </c>
      <c r="J188" s="1013">
        <v>-8</v>
      </c>
      <c r="K188" s="1013">
        <v>-61</v>
      </c>
      <c r="L188" s="153" t="str">
        <f t="shared" si="0"/>
        <v>4107@</v>
      </c>
      <c r="M188" s="154" t="str">
        <f t="shared" si="1"/>
        <v>UNITES VENDUES GOLF</v>
      </c>
      <c r="N188" s="155">
        <f>+IF(OR($Q188=Parametres!$G$2,$Q188=Parametres!$G$3),I188,C188)</f>
        <v>-53</v>
      </c>
      <c r="O188" s="155">
        <f>+IF(OR($Q188=Parametres!$G$2,$Q188=Parametres!$G$3),J188,D188)</f>
        <v>-8</v>
      </c>
      <c r="P188" s="155">
        <f>+IF(OR($Q188=Parametres!$G$2,$Q188=Parametres!$G$3),K188,E188)</f>
        <v>-61</v>
      </c>
      <c r="Q188" s="154" t="str">
        <f t="shared" si="13"/>
        <v>10-Compte compteur</v>
      </c>
      <c r="R188" s="153" t="str">
        <f t="shared" si="13"/>
        <v>4107</v>
      </c>
      <c r="S188" s="154">
        <f t="shared" si="13"/>
        <v>0</v>
      </c>
      <c r="T188" s="156" t="str">
        <f>+VLOOKUP($L188,Data_Validation!$A:$D,1,0)</f>
        <v>4107@</v>
      </c>
      <c r="U188" s="156" t="str">
        <f>+VLOOKUP($L188,Data_Validation!$A:$D,3,0)</f>
        <v>Véhicules neufs</v>
      </c>
      <c r="V188" s="156" t="str">
        <f>+VLOOKUP($L188,Data_Validation!$A:$D,4,0)</f>
        <v>Autos détail</v>
      </c>
      <c r="W188" s="156" t="str">
        <f>+VLOOKUP($L188,Data_Validation!$A:$E,5,0)</f>
        <v>NB</v>
      </c>
      <c r="X188" s="156">
        <f>+VLOOKUP($L188,Data_Validation!$A:$F,6,0)</f>
        <v>0</v>
      </c>
    </row>
    <row r="189" spans="1:24" ht="15" hidden="1" customHeight="1">
      <c r="A189" s="1012" t="s">
        <v>2435</v>
      </c>
      <c r="B189" s="1012" t="s">
        <v>2436</v>
      </c>
      <c r="C189" s="1034">
        <v>-759549.8</v>
      </c>
      <c r="D189" s="1034">
        <v>-88477.47</v>
      </c>
      <c r="E189" s="1034">
        <v>-848027.27</v>
      </c>
      <c r="F189" s="1012" t="s">
        <v>285</v>
      </c>
      <c r="G189" s="1012" t="s">
        <v>2436</v>
      </c>
      <c r="H189" s="1013"/>
      <c r="I189" s="1014"/>
      <c r="J189" s="1014"/>
      <c r="K189" s="1014"/>
      <c r="L189" s="153" t="str">
        <f t="shared" si="0"/>
        <v>4109</v>
      </c>
      <c r="M189" s="154" t="str">
        <f t="shared" si="1"/>
        <v>VTE - GOLF R</v>
      </c>
      <c r="N189" s="155">
        <f>+IF(OR($Q189=Parametres!$G$2,$Q189=Parametres!$G$3),I189,C189)</f>
        <v>-759549.8</v>
      </c>
      <c r="O189" s="155">
        <f>+IF(OR($Q189=Parametres!$G$2,$Q189=Parametres!$G$3),J189,D189)</f>
        <v>-88477.47</v>
      </c>
      <c r="P189" s="155">
        <f>+IF(OR($Q189=Parametres!$G$2,$Q189=Parametres!$G$3),K189,E189)</f>
        <v>-848027.27</v>
      </c>
      <c r="Q189" s="154" t="str">
        <f t="shared" si="13"/>
        <v>5-Ventes</v>
      </c>
      <c r="R189" s="153" t="str">
        <f t="shared" si="13"/>
        <v>4109</v>
      </c>
      <c r="S189" s="154">
        <f t="shared" si="13"/>
        <v>0</v>
      </c>
      <c r="T189" s="156" t="str">
        <f>+VLOOKUP($L189,Data_Validation!$A:$D,1,0)</f>
        <v>4109</v>
      </c>
      <c r="U189" s="156" t="str">
        <f>+VLOOKUP($L189,Data_Validation!$A:$D,3,0)</f>
        <v>Véhicules neufs</v>
      </c>
      <c r="V189" s="156" t="str">
        <f>+VLOOKUP($L189,Data_Validation!$A:$D,4,0)</f>
        <v>Autos détail</v>
      </c>
      <c r="W189" s="156" t="str">
        <f>+VLOOKUP($L189,Data_Validation!$A:$E,5,0)</f>
        <v>$</v>
      </c>
      <c r="X189" s="156" t="str">
        <f>+VLOOKUP($L189,Data_Validation!$A:$F,6,0)</f>
        <v>Oui</v>
      </c>
    </row>
    <row r="190" spans="1:24" ht="15" hidden="1" customHeight="1">
      <c r="A190" s="1012" t="s">
        <v>2490</v>
      </c>
      <c r="B190" s="1012" t="s">
        <v>2491</v>
      </c>
      <c r="C190" s="1014"/>
      <c r="D190" s="1014"/>
      <c r="E190" s="1014"/>
      <c r="F190" s="1012" t="s">
        <v>4</v>
      </c>
      <c r="G190" s="1012" t="s">
        <v>2436</v>
      </c>
      <c r="H190" s="1013"/>
      <c r="I190" s="1013">
        <v>-17</v>
      </c>
      <c r="J190" s="1013">
        <v>-2</v>
      </c>
      <c r="K190" s="1013">
        <v>-19</v>
      </c>
      <c r="L190" s="153" t="str">
        <f t="shared" si="0"/>
        <v>4109@</v>
      </c>
      <c r="M190" s="154" t="str">
        <f t="shared" si="1"/>
        <v># DE VENTE - GOLF R</v>
      </c>
      <c r="N190" s="155">
        <f>+IF(OR($Q190=Parametres!$G$2,$Q190=Parametres!$G$3),I190,C190)</f>
        <v>-17</v>
      </c>
      <c r="O190" s="155">
        <f>+IF(OR($Q190=Parametres!$G$2,$Q190=Parametres!$G$3),J190,D190)</f>
        <v>-2</v>
      </c>
      <c r="P190" s="155">
        <f>+IF(OR($Q190=Parametres!$G$2,$Q190=Parametres!$G$3),K190,E190)</f>
        <v>-19</v>
      </c>
      <c r="Q190" s="154" t="str">
        <f t="shared" si="13"/>
        <v>10-Compte compteur</v>
      </c>
      <c r="R190" s="153" t="str">
        <f t="shared" si="13"/>
        <v>4109</v>
      </c>
      <c r="S190" s="154">
        <f t="shared" si="13"/>
        <v>0</v>
      </c>
      <c r="T190" s="156" t="str">
        <f>+VLOOKUP($L190,Data_Validation!$A:$D,1,0)</f>
        <v>4109@</v>
      </c>
      <c r="U190" s="156" t="str">
        <f>+VLOOKUP($L190,Data_Validation!$A:$D,3,0)</f>
        <v>Véhicules neufs</v>
      </c>
      <c r="V190" s="156" t="str">
        <f>+VLOOKUP($L190,Data_Validation!$A:$D,4,0)</f>
        <v>Autos détail</v>
      </c>
      <c r="W190" s="156" t="str">
        <f>+VLOOKUP($L190,Data_Validation!$A:$E,5,0)</f>
        <v>NB</v>
      </c>
      <c r="X190" s="156">
        <f>+VLOOKUP($L190,Data_Validation!$A:$F,6,0)</f>
        <v>0</v>
      </c>
    </row>
    <row r="191" spans="1:24" ht="15" hidden="1" customHeight="1">
      <c r="A191" s="1012" t="s">
        <v>2013</v>
      </c>
      <c r="B191" s="1012" t="s">
        <v>2014</v>
      </c>
      <c r="C191" s="1034">
        <v>-2782425.75</v>
      </c>
      <c r="D191" s="1034">
        <v>-484562.41</v>
      </c>
      <c r="E191" s="1034">
        <v>-3266988.16</v>
      </c>
      <c r="F191" s="1012" t="s">
        <v>285</v>
      </c>
      <c r="G191" s="1012" t="s">
        <v>2014</v>
      </c>
      <c r="H191" s="1013"/>
      <c r="I191" s="1014"/>
      <c r="J191" s="1014"/>
      <c r="K191" s="1014"/>
      <c r="L191" s="153" t="str">
        <f t="shared" si="0"/>
        <v>4111</v>
      </c>
      <c r="M191" s="154" t="str">
        <f t="shared" si="1"/>
        <v>VTE - JETTA</v>
      </c>
      <c r="N191" s="155">
        <f>+IF(OR($Q191=Parametres!$G$2,$Q191=Parametres!$G$3),I191,C191)</f>
        <v>-2782425.75</v>
      </c>
      <c r="O191" s="155">
        <f>+IF(OR($Q191=Parametres!$G$2,$Q191=Parametres!$G$3),J191,D191)</f>
        <v>-484562.41</v>
      </c>
      <c r="P191" s="155">
        <f>+IF(OR($Q191=Parametres!$G$2,$Q191=Parametres!$G$3),K191,E191)</f>
        <v>-3266988.16</v>
      </c>
      <c r="Q191" s="154" t="str">
        <f t="shared" si="13"/>
        <v>5-Ventes</v>
      </c>
      <c r="R191" s="153" t="str">
        <f t="shared" si="13"/>
        <v>4111</v>
      </c>
      <c r="S191" s="154">
        <f t="shared" si="13"/>
        <v>0</v>
      </c>
      <c r="T191" s="156" t="str">
        <f>+VLOOKUP($L191,Data_Validation!$A:$D,1,0)</f>
        <v>4111</v>
      </c>
      <c r="U191" s="156" t="str">
        <f>+VLOOKUP($L191,Data_Validation!$A:$D,3,0)</f>
        <v>Véhicules neufs</v>
      </c>
      <c r="V191" s="156" t="str">
        <f>+VLOOKUP($L191,Data_Validation!$A:$D,4,0)</f>
        <v>Autos détail</v>
      </c>
      <c r="W191" s="156" t="str">
        <f>+VLOOKUP($L191,Data_Validation!$A:$E,5,0)</f>
        <v>$</v>
      </c>
      <c r="X191" s="156" t="str">
        <f>+VLOOKUP($L191,Data_Validation!$A:$F,6,0)</f>
        <v>Oui</v>
      </c>
    </row>
    <row r="192" spans="1:24" ht="15" hidden="1" customHeight="1">
      <c r="A192" s="1012" t="s">
        <v>2492</v>
      </c>
      <c r="B192" s="1012" t="s">
        <v>2493</v>
      </c>
      <c r="C192" s="1014"/>
      <c r="D192" s="1014"/>
      <c r="E192" s="1014"/>
      <c r="F192" s="1012" t="s">
        <v>4</v>
      </c>
      <c r="G192" s="1012" t="s">
        <v>2014</v>
      </c>
      <c r="H192" s="1013"/>
      <c r="I192" s="1013">
        <v>-103</v>
      </c>
      <c r="J192" s="1013">
        <v>-17</v>
      </c>
      <c r="K192" s="1013">
        <v>-120</v>
      </c>
      <c r="L192" s="153" t="str">
        <f t="shared" si="0"/>
        <v>4111@</v>
      </c>
      <c r="M192" s="154" t="str">
        <f t="shared" si="1"/>
        <v>UNITES VENDUES - JETTA</v>
      </c>
      <c r="N192" s="155">
        <f>+IF(OR($Q192=Parametres!$G$2,$Q192=Parametres!$G$3),I192,C192)</f>
        <v>-103</v>
      </c>
      <c r="O192" s="155">
        <f>+IF(OR($Q192=Parametres!$G$2,$Q192=Parametres!$G$3),J192,D192)</f>
        <v>-17</v>
      </c>
      <c r="P192" s="155">
        <f>+IF(OR($Q192=Parametres!$G$2,$Q192=Parametres!$G$3),K192,E192)</f>
        <v>-120</v>
      </c>
      <c r="Q192" s="154" t="str">
        <f t="shared" si="13"/>
        <v>10-Compte compteur</v>
      </c>
      <c r="R192" s="153" t="str">
        <f t="shared" si="13"/>
        <v>4111</v>
      </c>
      <c r="S192" s="154">
        <f t="shared" si="13"/>
        <v>0</v>
      </c>
      <c r="T192" s="156" t="str">
        <f>+VLOOKUP($L192,Data_Validation!$A:$D,1,0)</f>
        <v>4111@</v>
      </c>
      <c r="U192" s="156" t="str">
        <f>+VLOOKUP($L192,Data_Validation!$A:$D,3,0)</f>
        <v>Véhicules neufs</v>
      </c>
      <c r="V192" s="156" t="str">
        <f>+VLOOKUP($L192,Data_Validation!$A:$D,4,0)</f>
        <v>Autos détail</v>
      </c>
      <c r="W192" s="156" t="str">
        <f>+VLOOKUP($L192,Data_Validation!$A:$E,5,0)</f>
        <v>NB</v>
      </c>
      <c r="X192" s="156">
        <f>+VLOOKUP($L192,Data_Validation!$A:$F,6,0)</f>
        <v>0</v>
      </c>
    </row>
    <row r="193" spans="1:24" ht="15" hidden="1" customHeight="1">
      <c r="A193" s="1012" t="s">
        <v>2437</v>
      </c>
      <c r="B193" s="1012" t="s">
        <v>2438</v>
      </c>
      <c r="C193" s="1034">
        <v>-1013695.92</v>
      </c>
      <c r="D193" s="1034">
        <v>-130067.77</v>
      </c>
      <c r="E193" s="1034">
        <v>-1143763.69</v>
      </c>
      <c r="F193" s="1012" t="s">
        <v>285</v>
      </c>
      <c r="G193" s="1012" t="s">
        <v>2438</v>
      </c>
      <c r="H193" s="1013"/>
      <c r="I193" s="1014"/>
      <c r="J193" s="1014"/>
      <c r="K193" s="1014"/>
      <c r="L193" s="153" t="str">
        <f t="shared" si="0"/>
        <v>4113</v>
      </c>
      <c r="M193" s="154" t="str">
        <f t="shared" si="1"/>
        <v>VTE - GOLF (FAMILIALE)</v>
      </c>
      <c r="N193" s="155">
        <f>+IF(OR($Q193=Parametres!$G$2,$Q193=Parametres!$G$3),I193,C193)</f>
        <v>-1013695.92</v>
      </c>
      <c r="O193" s="155">
        <f>+IF(OR($Q193=Parametres!$G$2,$Q193=Parametres!$G$3),J193,D193)</f>
        <v>-130067.77</v>
      </c>
      <c r="P193" s="155">
        <f>+IF(OR($Q193=Parametres!$G$2,$Q193=Parametres!$G$3),K193,E193)</f>
        <v>-1143763.69</v>
      </c>
      <c r="Q193" s="154" t="str">
        <f t="shared" si="13"/>
        <v>5-Ventes</v>
      </c>
      <c r="R193" s="153" t="str">
        <f t="shared" si="13"/>
        <v>4113</v>
      </c>
      <c r="S193" s="154">
        <f t="shared" si="13"/>
        <v>0</v>
      </c>
      <c r="T193" s="156" t="str">
        <f>+VLOOKUP($L193,Data_Validation!$A:$D,1,0)</f>
        <v>4113</v>
      </c>
      <c r="U193" s="156" t="str">
        <f>+VLOOKUP($L193,Data_Validation!$A:$D,3,0)</f>
        <v>Véhicules neufs</v>
      </c>
      <c r="V193" s="156" t="str">
        <f>+VLOOKUP($L193,Data_Validation!$A:$D,4,0)</f>
        <v>Autos détail</v>
      </c>
      <c r="W193" s="156" t="str">
        <f>+VLOOKUP($L193,Data_Validation!$A:$E,5,0)</f>
        <v>$</v>
      </c>
      <c r="X193" s="156" t="str">
        <f>+VLOOKUP($L193,Data_Validation!$A:$F,6,0)</f>
        <v>Oui</v>
      </c>
    </row>
    <row r="194" spans="1:24" ht="15.75" hidden="1" customHeight="1">
      <c r="A194" s="1012" t="s">
        <v>2494</v>
      </c>
      <c r="B194" s="1012" t="s">
        <v>2495</v>
      </c>
      <c r="C194" s="1014"/>
      <c r="D194" s="1014"/>
      <c r="E194" s="1014"/>
      <c r="F194" s="1012" t="s">
        <v>4</v>
      </c>
      <c r="G194" s="1012" t="s">
        <v>2438</v>
      </c>
      <c r="H194" s="1013"/>
      <c r="I194" s="1013">
        <v>-32</v>
      </c>
      <c r="J194" s="1013">
        <v>-4</v>
      </c>
      <c r="K194" s="1013">
        <v>-36</v>
      </c>
      <c r="L194" s="153" t="str">
        <f t="shared" si="0"/>
        <v>4113@</v>
      </c>
      <c r="M194" s="154" t="str">
        <f t="shared" si="1"/>
        <v>UNITES VENDUES - GOLF (FAMILIALE)</v>
      </c>
      <c r="N194" s="155">
        <f>+IF(OR($Q194=Parametres!$G$2,$Q194=Parametres!$G$3),I194,C194)</f>
        <v>-32</v>
      </c>
      <c r="O194" s="155">
        <f>+IF(OR($Q194=Parametres!$G$2,$Q194=Parametres!$G$3),J194,D194)</f>
        <v>-4</v>
      </c>
      <c r="P194" s="155">
        <f>+IF(OR($Q194=Parametres!$G$2,$Q194=Parametres!$G$3),K194,E194)</f>
        <v>-36</v>
      </c>
      <c r="Q194" s="154" t="str">
        <f t="shared" ref="Q194:S209" si="14">+F194</f>
        <v>10-Compte compteur</v>
      </c>
      <c r="R194" s="153" t="str">
        <f t="shared" si="14"/>
        <v>4113</v>
      </c>
      <c r="S194" s="154">
        <f t="shared" si="14"/>
        <v>0</v>
      </c>
      <c r="T194" s="156" t="str">
        <f>+VLOOKUP($L194,Data_Validation!$A:$D,1,0)</f>
        <v>4113@</v>
      </c>
      <c r="U194" s="156" t="str">
        <f>+VLOOKUP($L194,Data_Validation!$A:$D,3,0)</f>
        <v>Véhicules neufs</v>
      </c>
      <c r="V194" s="156" t="str">
        <f>+VLOOKUP($L194,Data_Validation!$A:$D,4,0)</f>
        <v>Autos détail</v>
      </c>
      <c r="W194" s="156" t="str">
        <f>+VLOOKUP($L194,Data_Validation!$A:$E,5,0)</f>
        <v>NB</v>
      </c>
      <c r="X194" s="156">
        <f>+VLOOKUP($L194,Data_Validation!$A:$F,6,0)</f>
        <v>0</v>
      </c>
    </row>
    <row r="195" spans="1:24" ht="15" hidden="1" customHeight="1">
      <c r="A195" s="1012" t="s">
        <v>2439</v>
      </c>
      <c r="B195" s="1012" t="s">
        <v>2440</v>
      </c>
      <c r="C195" s="1034">
        <v>-74971.12</v>
      </c>
      <c r="D195" s="1034">
        <v>0</v>
      </c>
      <c r="E195" s="1034">
        <v>-74971.12</v>
      </c>
      <c r="F195" s="1012" t="s">
        <v>285</v>
      </c>
      <c r="G195" s="1012" t="s">
        <v>2440</v>
      </c>
      <c r="H195" s="1013"/>
      <c r="I195" s="1014"/>
      <c r="J195" s="1014"/>
      <c r="K195" s="1014"/>
      <c r="L195" s="153" t="str">
        <f t="shared" si="0"/>
        <v>4115</v>
      </c>
      <c r="M195" s="154" t="str">
        <f t="shared" si="1"/>
        <v>VTE - PASSAT BERLINE</v>
      </c>
      <c r="N195" s="155">
        <f>+IF(OR($Q195=Parametres!$G$2,$Q195=Parametres!$G$3),I195,C195)</f>
        <v>-74971.12</v>
      </c>
      <c r="O195" s="155">
        <f>+IF(OR($Q195=Parametres!$G$2,$Q195=Parametres!$G$3),J195,D195)</f>
        <v>0</v>
      </c>
      <c r="P195" s="155">
        <f>+IF(OR($Q195=Parametres!$G$2,$Q195=Parametres!$G$3),K195,E195)</f>
        <v>-74971.12</v>
      </c>
      <c r="Q195" s="154" t="str">
        <f t="shared" si="14"/>
        <v>5-Ventes</v>
      </c>
      <c r="R195" s="153" t="str">
        <f t="shared" si="14"/>
        <v>4115</v>
      </c>
      <c r="S195" s="154">
        <f t="shared" si="14"/>
        <v>0</v>
      </c>
      <c r="T195" s="156" t="str">
        <f>+VLOOKUP($L195,Data_Validation!$A:$D,1,0)</f>
        <v>4115</v>
      </c>
      <c r="U195" s="156" t="str">
        <f>+VLOOKUP($L195,Data_Validation!$A:$D,3,0)</f>
        <v>Véhicules neufs</v>
      </c>
      <c r="V195" s="156" t="str">
        <f>+VLOOKUP($L195,Data_Validation!$A:$D,4,0)</f>
        <v>Autos détail</v>
      </c>
      <c r="W195" s="156" t="str">
        <f>+VLOOKUP($L195,Data_Validation!$A:$E,5,0)</f>
        <v>$</v>
      </c>
      <c r="X195" s="156" t="str">
        <f>+VLOOKUP($L195,Data_Validation!$A:$F,6,0)</f>
        <v>Oui</v>
      </c>
    </row>
    <row r="196" spans="1:24" ht="15" hidden="1" customHeight="1">
      <c r="A196" s="1012" t="s">
        <v>2496</v>
      </c>
      <c r="B196" s="1012" t="s">
        <v>2497</v>
      </c>
      <c r="C196" s="1014"/>
      <c r="D196" s="1014"/>
      <c r="E196" s="1014"/>
      <c r="F196" s="1012" t="s">
        <v>4</v>
      </c>
      <c r="G196" s="1012" t="s">
        <v>2440</v>
      </c>
      <c r="H196" s="1013"/>
      <c r="I196" s="1013">
        <v>-2</v>
      </c>
      <c r="J196" s="1013">
        <v>0</v>
      </c>
      <c r="K196" s="1013">
        <v>-2</v>
      </c>
      <c r="L196" s="153" t="str">
        <f t="shared" si="0"/>
        <v>4115@</v>
      </c>
      <c r="M196" s="154" t="str">
        <f t="shared" si="1"/>
        <v>PASSAT SEDAN</v>
      </c>
      <c r="N196" s="155">
        <f>+IF(OR($Q196=Parametres!$G$2,$Q196=Parametres!$G$3),I196,C196)</f>
        <v>-2</v>
      </c>
      <c r="O196" s="155">
        <f>+IF(OR($Q196=Parametres!$G$2,$Q196=Parametres!$G$3),J196,D196)</f>
        <v>0</v>
      </c>
      <c r="P196" s="155">
        <f>+IF(OR($Q196=Parametres!$G$2,$Q196=Parametres!$G$3),K196,E196)</f>
        <v>-2</v>
      </c>
      <c r="Q196" s="154" t="str">
        <f t="shared" si="14"/>
        <v>10-Compte compteur</v>
      </c>
      <c r="R196" s="153" t="str">
        <f t="shared" si="14"/>
        <v>4115</v>
      </c>
      <c r="S196" s="154">
        <f t="shared" si="14"/>
        <v>0</v>
      </c>
      <c r="T196" s="156" t="str">
        <f>+VLOOKUP($L196,Data_Validation!$A:$D,1,0)</f>
        <v>4115@</v>
      </c>
      <c r="U196" s="156" t="str">
        <f>+VLOOKUP($L196,Data_Validation!$A:$D,3,0)</f>
        <v>Véhicules neufs</v>
      </c>
      <c r="V196" s="156" t="str">
        <f>+VLOOKUP($L196,Data_Validation!$A:$D,4,0)</f>
        <v>Autos détail</v>
      </c>
      <c r="W196" s="156" t="str">
        <f>+VLOOKUP($L196,Data_Validation!$A:$E,5,0)</f>
        <v>NB</v>
      </c>
      <c r="X196" s="156">
        <f>+VLOOKUP($L196,Data_Validation!$A:$F,6,0)</f>
        <v>0</v>
      </c>
    </row>
    <row r="197" spans="1:24" ht="15" hidden="1" customHeight="1">
      <c r="A197" s="1012" t="s">
        <v>2002</v>
      </c>
      <c r="B197" s="1012" t="s">
        <v>2003</v>
      </c>
      <c r="C197" s="1034">
        <v>-1538197.28</v>
      </c>
      <c r="D197" s="1034">
        <v>-203542.07</v>
      </c>
      <c r="E197" s="1034">
        <v>-1741739.35</v>
      </c>
      <c r="F197" s="1012" t="s">
        <v>285</v>
      </c>
      <c r="G197" s="1012" t="s">
        <v>2003</v>
      </c>
      <c r="H197" s="1013"/>
      <c r="I197" s="1014"/>
      <c r="J197" s="1014"/>
      <c r="K197" s="1014"/>
      <c r="L197" s="153" t="str">
        <f t="shared" si="0"/>
        <v>4119</v>
      </c>
      <c r="M197" s="154" t="str">
        <f t="shared" si="1"/>
        <v>VTE - ATLAS</v>
      </c>
      <c r="N197" s="155">
        <f>+IF(OR($Q197=Parametres!$G$2,$Q197=Parametres!$G$3),I197,C197)</f>
        <v>-1538197.28</v>
      </c>
      <c r="O197" s="155">
        <f>+IF(OR($Q197=Parametres!$G$2,$Q197=Parametres!$G$3),J197,D197)</f>
        <v>-203542.07</v>
      </c>
      <c r="P197" s="155">
        <f>+IF(OR($Q197=Parametres!$G$2,$Q197=Parametres!$G$3),K197,E197)</f>
        <v>-1741739.35</v>
      </c>
      <c r="Q197" s="154" t="str">
        <f t="shared" si="14"/>
        <v>5-Ventes</v>
      </c>
      <c r="R197" s="153" t="str">
        <f t="shared" si="14"/>
        <v>4119</v>
      </c>
      <c r="S197" s="154">
        <f t="shared" si="14"/>
        <v>0</v>
      </c>
      <c r="T197" s="156" t="str">
        <f>+VLOOKUP($L197,Data_Validation!$A:$D,1,0)</f>
        <v>4119</v>
      </c>
      <c r="U197" s="156" t="str">
        <f>+VLOOKUP($L197,Data_Validation!$A:$D,3,0)</f>
        <v>Véhicules neufs</v>
      </c>
      <c r="V197" s="156" t="str">
        <f>+VLOOKUP($L197,Data_Validation!$A:$D,4,0)</f>
        <v>Camions détail</v>
      </c>
      <c r="W197" s="156" t="str">
        <f>+VLOOKUP($L197,Data_Validation!$A:$E,5,0)</f>
        <v>$</v>
      </c>
      <c r="X197" s="156" t="str">
        <f>+VLOOKUP($L197,Data_Validation!$A:$F,6,0)</f>
        <v>Oui</v>
      </c>
    </row>
    <row r="198" spans="1:24" ht="15" hidden="1" customHeight="1">
      <c r="A198" s="1012" t="s">
        <v>2498</v>
      </c>
      <c r="B198" s="1012" t="s">
        <v>2499</v>
      </c>
      <c r="C198" s="1014"/>
      <c r="D198" s="1014"/>
      <c r="E198" s="1014"/>
      <c r="F198" s="1012" t="s">
        <v>4</v>
      </c>
      <c r="G198" s="1012" t="s">
        <v>2003</v>
      </c>
      <c r="H198" s="1013"/>
      <c r="I198" s="1013">
        <v>-30</v>
      </c>
      <c r="J198" s="1013">
        <v>-4</v>
      </c>
      <c r="K198" s="1013">
        <v>-34</v>
      </c>
      <c r="L198" s="153" t="str">
        <f t="shared" si="0"/>
        <v>4119@</v>
      </c>
      <c r="M198" s="154" t="str">
        <f t="shared" si="1"/>
        <v># DE VTE - ATLAS</v>
      </c>
      <c r="N198" s="155">
        <f>+IF(OR($Q198=Parametres!$G$2,$Q198=Parametres!$G$3),I198,C198)</f>
        <v>-30</v>
      </c>
      <c r="O198" s="155">
        <f>+IF(OR($Q198=Parametres!$G$2,$Q198=Parametres!$G$3),J198,D198)</f>
        <v>-4</v>
      </c>
      <c r="P198" s="155">
        <f>+IF(OR($Q198=Parametres!$G$2,$Q198=Parametres!$G$3),K198,E198)</f>
        <v>-34</v>
      </c>
      <c r="Q198" s="154" t="str">
        <f t="shared" si="14"/>
        <v>10-Compte compteur</v>
      </c>
      <c r="R198" s="153" t="str">
        <f t="shared" si="14"/>
        <v>4119</v>
      </c>
      <c r="S198" s="154">
        <f t="shared" si="14"/>
        <v>0</v>
      </c>
      <c r="T198" s="156" t="str">
        <f>+VLOOKUP($L198,Data_Validation!$A:$D,1,0)</f>
        <v>4119@</v>
      </c>
      <c r="U198" s="156" t="str">
        <f>+VLOOKUP($L198,Data_Validation!$A:$D,3,0)</f>
        <v>Véhicules neufs</v>
      </c>
      <c r="V198" s="156" t="str">
        <f>+VLOOKUP($L198,Data_Validation!$A:$D,4,0)</f>
        <v>Camions détail</v>
      </c>
      <c r="W198" s="156" t="str">
        <f>+VLOOKUP($L198,Data_Validation!$A:$E,5,0)</f>
        <v>NB</v>
      </c>
      <c r="X198" s="156">
        <f>+VLOOKUP($L198,Data_Validation!$A:$F,6,0)</f>
        <v>0</v>
      </c>
    </row>
    <row r="199" spans="1:24" ht="15.75" hidden="1" customHeight="1">
      <c r="A199" s="1012" t="s">
        <v>2030</v>
      </c>
      <c r="B199" s="1012" t="s">
        <v>2031</v>
      </c>
      <c r="C199" s="1034">
        <v>-580387.61</v>
      </c>
      <c r="D199" s="1034">
        <v>-72344.320000000007</v>
      </c>
      <c r="E199" s="1034">
        <v>-652731.93000000005</v>
      </c>
      <c r="F199" s="1012" t="s">
        <v>285</v>
      </c>
      <c r="G199" s="1012" t="s">
        <v>2031</v>
      </c>
      <c r="H199" s="1013"/>
      <c r="I199" s="1014"/>
      <c r="J199" s="1014"/>
      <c r="K199" s="1014"/>
      <c r="L199" s="153" t="str">
        <f t="shared" si="0"/>
        <v>4127</v>
      </c>
      <c r="M199" s="154" t="str">
        <f t="shared" si="1"/>
        <v>VTE - GOLF GTI</v>
      </c>
      <c r="N199" s="155">
        <f>+IF(OR($Q199=Parametres!$G$2,$Q199=Parametres!$G$3),I199,C199)</f>
        <v>-580387.61</v>
      </c>
      <c r="O199" s="155">
        <f>+IF(OR($Q199=Parametres!$G$2,$Q199=Parametres!$G$3),J199,D199)</f>
        <v>-72344.320000000007</v>
      </c>
      <c r="P199" s="155">
        <f>+IF(OR($Q199=Parametres!$G$2,$Q199=Parametres!$G$3),K199,E199)</f>
        <v>-652731.93000000005</v>
      </c>
      <c r="Q199" s="154" t="str">
        <f t="shared" si="14"/>
        <v>5-Ventes</v>
      </c>
      <c r="R199" s="153" t="str">
        <f t="shared" si="14"/>
        <v>4127</v>
      </c>
      <c r="S199" s="154">
        <f t="shared" si="14"/>
        <v>0</v>
      </c>
      <c r="T199" s="156" t="str">
        <f>+VLOOKUP($L199,Data_Validation!$A:$D,1,0)</f>
        <v>4127</v>
      </c>
      <c r="U199" s="156" t="str">
        <f>+VLOOKUP($L199,Data_Validation!$A:$D,3,0)</f>
        <v>Véhicules neufs</v>
      </c>
      <c r="V199" s="156" t="str">
        <f>+VLOOKUP($L199,Data_Validation!$A:$D,4,0)</f>
        <v>Autos détail</v>
      </c>
      <c r="W199" s="156" t="str">
        <f>+VLOOKUP($L199,Data_Validation!$A:$E,5,0)</f>
        <v>$</v>
      </c>
      <c r="X199" s="156" t="str">
        <f>+VLOOKUP($L199,Data_Validation!$A:$F,6,0)</f>
        <v>Oui</v>
      </c>
    </row>
    <row r="200" spans="1:24" ht="15" hidden="1" customHeight="1">
      <c r="A200" s="1012" t="s">
        <v>2500</v>
      </c>
      <c r="B200" s="1012" t="s">
        <v>2501</v>
      </c>
      <c r="C200" s="1014"/>
      <c r="D200" s="1014"/>
      <c r="E200" s="1014"/>
      <c r="F200" s="1012" t="s">
        <v>4</v>
      </c>
      <c r="G200" s="1012" t="s">
        <v>2031</v>
      </c>
      <c r="H200" s="1013"/>
      <c r="I200" s="1013">
        <v>-16</v>
      </c>
      <c r="J200" s="1013">
        <v>-2</v>
      </c>
      <c r="K200" s="1013">
        <v>-18</v>
      </c>
      <c r="L200" s="153" t="str">
        <f t="shared" si="0"/>
        <v>4127@</v>
      </c>
      <c r="M200" s="154" t="str">
        <f t="shared" si="1"/>
        <v># DE VENTE - GOLF GTI</v>
      </c>
      <c r="N200" s="155">
        <f>+IF(OR($Q200=Parametres!$G$2,$Q200=Parametres!$G$3),I200,C200)</f>
        <v>-16</v>
      </c>
      <c r="O200" s="155">
        <f>+IF(OR($Q200=Parametres!$G$2,$Q200=Parametres!$G$3),J200,D200)</f>
        <v>-2</v>
      </c>
      <c r="P200" s="155">
        <f>+IF(OR($Q200=Parametres!$G$2,$Q200=Parametres!$G$3),K200,E200)</f>
        <v>-18</v>
      </c>
      <c r="Q200" s="154" t="str">
        <f t="shared" si="14"/>
        <v>10-Compte compteur</v>
      </c>
      <c r="R200" s="153" t="str">
        <f t="shared" si="14"/>
        <v>4127</v>
      </c>
      <c r="S200" s="154">
        <f t="shared" si="14"/>
        <v>0</v>
      </c>
      <c r="T200" s="156" t="str">
        <f>+VLOOKUP($L200,Data_Validation!$A:$D,1,0)</f>
        <v>4127@</v>
      </c>
      <c r="U200" s="156" t="str">
        <f>+VLOOKUP($L200,Data_Validation!$A:$D,3,0)</f>
        <v>Véhicules neufs</v>
      </c>
      <c r="V200" s="156" t="str">
        <f>+VLOOKUP($L200,Data_Validation!$A:$D,4,0)</f>
        <v>Autos détail</v>
      </c>
      <c r="W200" s="156" t="str">
        <f>+VLOOKUP($L200,Data_Validation!$A:$E,5,0)</f>
        <v>NB</v>
      </c>
      <c r="X200" s="156">
        <f>+VLOOKUP($L200,Data_Validation!$A:$F,6,0)</f>
        <v>0</v>
      </c>
    </row>
    <row r="201" spans="1:24" ht="15" hidden="1" customHeight="1">
      <c r="A201" s="1012" t="s">
        <v>1998</v>
      </c>
      <c r="B201" s="1012" t="s">
        <v>1999</v>
      </c>
      <c r="C201" s="1034">
        <v>-5127277.24</v>
      </c>
      <c r="D201" s="1034">
        <v>-574599.51</v>
      </c>
      <c r="E201" s="1034">
        <v>-5701876.75</v>
      </c>
      <c r="F201" s="1012" t="s">
        <v>285</v>
      </c>
      <c r="G201" s="1012" t="s">
        <v>1999</v>
      </c>
      <c r="H201" s="1013"/>
      <c r="I201" s="1014"/>
      <c r="J201" s="1014"/>
      <c r="K201" s="1014"/>
      <c r="L201" s="153" t="str">
        <f t="shared" si="0"/>
        <v>4131</v>
      </c>
      <c r="M201" s="154" t="str">
        <f t="shared" si="1"/>
        <v>VTE - TIGUAN LWB</v>
      </c>
      <c r="N201" s="155">
        <f>+IF(OR($Q201=Parametres!$G$2,$Q201=Parametres!$G$3),I201,C201)</f>
        <v>-5127277.24</v>
      </c>
      <c r="O201" s="155">
        <f>+IF(OR($Q201=Parametres!$G$2,$Q201=Parametres!$G$3),J201,D201)</f>
        <v>-574599.51</v>
      </c>
      <c r="P201" s="155">
        <f>+IF(OR($Q201=Parametres!$G$2,$Q201=Parametres!$G$3),K201,E201)</f>
        <v>-5701876.75</v>
      </c>
      <c r="Q201" s="154" t="str">
        <f t="shared" si="14"/>
        <v>5-Ventes</v>
      </c>
      <c r="R201" s="153" t="str">
        <f t="shared" si="14"/>
        <v>4131</v>
      </c>
      <c r="S201" s="154">
        <f t="shared" si="14"/>
        <v>0</v>
      </c>
      <c r="T201" s="156" t="str">
        <f>+VLOOKUP($L201,Data_Validation!$A:$D,1,0)</f>
        <v>4131</v>
      </c>
      <c r="U201" s="156" t="str">
        <f>+VLOOKUP($L201,Data_Validation!$A:$D,3,0)</f>
        <v>Véhicules neufs</v>
      </c>
      <c r="V201" s="156" t="str">
        <f>+VLOOKUP($L201,Data_Validation!$A:$D,4,0)</f>
        <v>Camions détail</v>
      </c>
      <c r="W201" s="156" t="str">
        <f>+VLOOKUP($L201,Data_Validation!$A:$E,5,0)</f>
        <v>$</v>
      </c>
      <c r="X201" s="156" t="str">
        <f>+VLOOKUP($L201,Data_Validation!$A:$F,6,0)</f>
        <v>Oui</v>
      </c>
    </row>
    <row r="202" spans="1:24" ht="15" hidden="1" customHeight="1">
      <c r="A202" s="1012" t="s">
        <v>2502</v>
      </c>
      <c r="B202" s="1012" t="s">
        <v>2503</v>
      </c>
      <c r="C202" s="1014"/>
      <c r="D202" s="1014"/>
      <c r="E202" s="1014"/>
      <c r="F202" s="1012" t="s">
        <v>4</v>
      </c>
      <c r="G202" s="1012" t="s">
        <v>1999</v>
      </c>
      <c r="H202" s="1013"/>
      <c r="I202" s="1013">
        <v>-135</v>
      </c>
      <c r="J202" s="1013">
        <v>-15</v>
      </c>
      <c r="K202" s="1013">
        <v>-150</v>
      </c>
      <c r="L202" s="153" t="str">
        <f t="shared" si="0"/>
        <v>4131@</v>
      </c>
      <c r="M202" s="154" t="str">
        <f t="shared" si="1"/>
        <v># DE VTE - TIGUAN LWB</v>
      </c>
      <c r="N202" s="155">
        <f>+IF(OR($Q202=Parametres!$G$2,$Q202=Parametres!$G$3),I202,C202)</f>
        <v>-135</v>
      </c>
      <c r="O202" s="155">
        <f>+IF(OR($Q202=Parametres!$G$2,$Q202=Parametres!$G$3),J202,D202)</f>
        <v>-15</v>
      </c>
      <c r="P202" s="155">
        <f>+IF(OR($Q202=Parametres!$G$2,$Q202=Parametres!$G$3),K202,E202)</f>
        <v>-150</v>
      </c>
      <c r="Q202" s="154" t="str">
        <f t="shared" si="14"/>
        <v>10-Compte compteur</v>
      </c>
      <c r="R202" s="153" t="str">
        <f t="shared" si="14"/>
        <v>4131</v>
      </c>
      <c r="S202" s="154">
        <f t="shared" si="14"/>
        <v>0</v>
      </c>
      <c r="T202" s="156" t="str">
        <f>+VLOOKUP($L202,Data_Validation!$A:$D,1,0)</f>
        <v>4131@</v>
      </c>
      <c r="U202" s="156" t="str">
        <f>+VLOOKUP($L202,Data_Validation!$A:$D,3,0)</f>
        <v>Véhicules neufs</v>
      </c>
      <c r="V202" s="156" t="str">
        <f>+VLOOKUP($L202,Data_Validation!$A:$D,4,0)</f>
        <v>Camions détail</v>
      </c>
      <c r="W202" s="156" t="str">
        <f>+VLOOKUP($L202,Data_Validation!$A:$E,5,0)</f>
        <v>NB</v>
      </c>
      <c r="X202" s="156">
        <f>+VLOOKUP($L202,Data_Validation!$A:$F,6,0)</f>
        <v>0</v>
      </c>
    </row>
    <row r="203" spans="1:24" ht="15" hidden="1" customHeight="1">
      <c r="A203" s="1012" t="s">
        <v>2028</v>
      </c>
      <c r="B203" s="1012" t="s">
        <v>2029</v>
      </c>
      <c r="C203" s="1034">
        <v>-502536.24</v>
      </c>
      <c r="D203" s="1034">
        <v>0</v>
      </c>
      <c r="E203" s="1034">
        <v>-502536.24</v>
      </c>
      <c r="F203" s="1012" t="s">
        <v>285</v>
      </c>
      <c r="G203" s="1012" t="s">
        <v>2029</v>
      </c>
      <c r="H203" s="1013"/>
      <c r="I203" s="1014"/>
      <c r="J203" s="1014"/>
      <c r="K203" s="1014"/>
      <c r="L203" s="153" t="str">
        <f t="shared" si="0"/>
        <v>4135</v>
      </c>
      <c r="M203" s="154" t="str">
        <f t="shared" si="1"/>
        <v>VTE - EGOLF</v>
      </c>
      <c r="N203" s="155">
        <f>+IF(OR($Q203=Parametres!$G$2,$Q203=Parametres!$G$3),I203,C203)</f>
        <v>-502536.24</v>
      </c>
      <c r="O203" s="155">
        <f>+IF(OR($Q203=Parametres!$G$2,$Q203=Parametres!$G$3),J203,D203)</f>
        <v>0</v>
      </c>
      <c r="P203" s="155">
        <f>+IF(OR($Q203=Parametres!$G$2,$Q203=Parametres!$G$3),K203,E203)</f>
        <v>-502536.24</v>
      </c>
      <c r="Q203" s="154" t="str">
        <f t="shared" si="14"/>
        <v>5-Ventes</v>
      </c>
      <c r="R203" s="153" t="str">
        <f t="shared" si="14"/>
        <v>4135</v>
      </c>
      <c r="S203" s="154">
        <f t="shared" si="14"/>
        <v>0</v>
      </c>
      <c r="T203" s="156" t="str">
        <f>+VLOOKUP($L203,Data_Validation!$A:$D,1,0)</f>
        <v>4135</v>
      </c>
      <c r="U203" s="156" t="str">
        <f>+VLOOKUP($L203,Data_Validation!$A:$D,3,0)</f>
        <v>Véhicules neufs</v>
      </c>
      <c r="V203" s="156" t="str">
        <f>+VLOOKUP($L203,Data_Validation!$A:$D,4,0)</f>
        <v>Autos détail</v>
      </c>
      <c r="W203" s="156" t="str">
        <f>+VLOOKUP($L203,Data_Validation!$A:$E,5,0)</f>
        <v>$</v>
      </c>
      <c r="X203" s="156" t="str">
        <f>+VLOOKUP($L203,Data_Validation!$A:$F,6,0)</f>
        <v>Oui</v>
      </c>
    </row>
    <row r="204" spans="1:24" ht="15" hidden="1" customHeight="1">
      <c r="A204" s="1012" t="s">
        <v>2504</v>
      </c>
      <c r="B204" s="1012" t="s">
        <v>2505</v>
      </c>
      <c r="C204" s="1014"/>
      <c r="D204" s="1014"/>
      <c r="E204" s="1014"/>
      <c r="F204" s="1012" t="s">
        <v>4</v>
      </c>
      <c r="G204" s="1012" t="s">
        <v>2506</v>
      </c>
      <c r="H204" s="1013"/>
      <c r="I204" s="1013">
        <v>-12</v>
      </c>
      <c r="J204" s="1013">
        <v>0</v>
      </c>
      <c r="K204" s="1013">
        <v>-12</v>
      </c>
      <c r="L204" s="153" t="str">
        <f t="shared" si="0"/>
        <v>4135@</v>
      </c>
      <c r="M204" s="154" t="str">
        <f t="shared" si="1"/>
        <v>UNITES VENDUES - EGOLF</v>
      </c>
      <c r="N204" s="155">
        <f>+IF(OR($Q204=Parametres!$G$2,$Q204=Parametres!$G$3),I204,C204)</f>
        <v>-12</v>
      </c>
      <c r="O204" s="155">
        <f>+IF(OR($Q204=Parametres!$G$2,$Q204=Parametres!$G$3),J204,D204)</f>
        <v>0</v>
      </c>
      <c r="P204" s="155">
        <f>+IF(OR($Q204=Parametres!$G$2,$Q204=Parametres!$G$3),K204,E204)</f>
        <v>-12</v>
      </c>
      <c r="Q204" s="154" t="str">
        <f t="shared" si="14"/>
        <v>10-Compte compteur</v>
      </c>
      <c r="R204" s="153" t="str">
        <f t="shared" si="14"/>
        <v>84135</v>
      </c>
      <c r="S204" s="154">
        <f t="shared" si="14"/>
        <v>0</v>
      </c>
      <c r="T204" s="156" t="str">
        <f>+VLOOKUP($L204,Data_Validation!$A:$D,1,0)</f>
        <v>4135@</v>
      </c>
      <c r="U204" s="156" t="str">
        <f>+VLOOKUP($L204,Data_Validation!$A:$D,3,0)</f>
        <v>Véhicules neufs</v>
      </c>
      <c r="V204" s="156" t="str">
        <f>+VLOOKUP($L204,Data_Validation!$A:$D,4,0)</f>
        <v>Autos détail</v>
      </c>
      <c r="W204" s="156" t="str">
        <f>+VLOOKUP($L204,Data_Validation!$A:$E,5,0)</f>
        <v>NB</v>
      </c>
      <c r="X204" s="156">
        <f>+VLOOKUP($L204,Data_Validation!$A:$F,6,0)</f>
        <v>0</v>
      </c>
    </row>
    <row r="205" spans="1:24" ht="15" hidden="1" customHeight="1">
      <c r="A205" s="1012" t="s">
        <v>2441</v>
      </c>
      <c r="B205" s="1012" t="s">
        <v>2442</v>
      </c>
      <c r="C205" s="1034">
        <v>-220838.11</v>
      </c>
      <c r="D205" s="1034">
        <v>-67082</v>
      </c>
      <c r="E205" s="1034">
        <v>-287920.11</v>
      </c>
      <c r="F205" s="1012" t="s">
        <v>285</v>
      </c>
      <c r="G205" s="1012" t="s">
        <v>2442</v>
      </c>
      <c r="H205" s="1013"/>
      <c r="I205" s="1014"/>
      <c r="J205" s="1014"/>
      <c r="K205" s="1014"/>
      <c r="L205" s="153" t="str">
        <f t="shared" si="0"/>
        <v>4137</v>
      </c>
      <c r="M205" s="154" t="str">
        <f t="shared" si="1"/>
        <v>VTE - VW-FLOTTE/VENTES ENTR/EMPLOYE/VEH DEMON</v>
      </c>
      <c r="N205" s="155">
        <f>+IF(OR($Q205=Parametres!$G$2,$Q205=Parametres!$G$3),I205,C205)</f>
        <v>-220838.11</v>
      </c>
      <c r="O205" s="155">
        <f>+IF(OR($Q205=Parametres!$G$2,$Q205=Parametres!$G$3),J205,D205)</f>
        <v>-67082</v>
      </c>
      <c r="P205" s="155">
        <f>+IF(OR($Q205=Parametres!$G$2,$Q205=Parametres!$G$3),K205,E205)</f>
        <v>-287920.11</v>
      </c>
      <c r="Q205" s="154" t="str">
        <f t="shared" si="14"/>
        <v>5-Ventes</v>
      </c>
      <c r="R205" s="153" t="str">
        <f t="shared" si="14"/>
        <v>4137</v>
      </c>
      <c r="S205" s="154">
        <f t="shared" si="14"/>
        <v>0</v>
      </c>
      <c r="T205" s="156" t="str">
        <f>+VLOOKUP($L205,Data_Validation!$A:$D,1,0)</f>
        <v>4137</v>
      </c>
      <c r="U205" s="156" t="str">
        <f>+VLOOKUP($L205,Data_Validation!$A:$D,3,0)</f>
        <v>Véhicules neufs</v>
      </c>
      <c r="V205" s="156" t="str">
        <f>+VLOOKUP($L205,Data_Validation!$A:$D,4,0)</f>
        <v>Flottes</v>
      </c>
      <c r="W205" s="156" t="str">
        <f>+VLOOKUP($L205,Data_Validation!$A:$E,5,0)</f>
        <v>$</v>
      </c>
      <c r="X205" s="156" t="str">
        <f>+VLOOKUP($L205,Data_Validation!$A:$F,6,0)</f>
        <v>Oui</v>
      </c>
    </row>
    <row r="206" spans="1:24" ht="15.75" hidden="1" customHeight="1">
      <c r="A206" s="1012" t="s">
        <v>2507</v>
      </c>
      <c r="B206" s="1012" t="s">
        <v>2508</v>
      </c>
      <c r="C206" s="1014"/>
      <c r="D206" s="1014"/>
      <c r="E206" s="1014"/>
      <c r="F206" s="1012" t="s">
        <v>4</v>
      </c>
      <c r="G206" s="1012" t="s">
        <v>2442</v>
      </c>
      <c r="H206" s="1013"/>
      <c r="I206" s="1013">
        <v>-5</v>
      </c>
      <c r="J206" s="1013">
        <v>-2</v>
      </c>
      <c r="K206" s="1013">
        <v>-7</v>
      </c>
      <c r="L206" s="153" t="str">
        <f t="shared" si="0"/>
        <v>4137@</v>
      </c>
      <c r="M206" s="154" t="str">
        <f t="shared" si="1"/>
        <v>VW FLOTTE/VENTE ENTR/EMPLOYE/VEH DEMONST</v>
      </c>
      <c r="N206" s="155">
        <f>+IF(OR($Q206=Parametres!$G$2,$Q206=Parametres!$G$3),I206,C206)</f>
        <v>-5</v>
      </c>
      <c r="O206" s="155">
        <f>+IF(OR($Q206=Parametres!$G$2,$Q206=Parametres!$G$3),J206,D206)</f>
        <v>-2</v>
      </c>
      <c r="P206" s="155">
        <f>+IF(OR($Q206=Parametres!$G$2,$Q206=Parametres!$G$3),K206,E206)</f>
        <v>-7</v>
      </c>
      <c r="Q206" s="154" t="str">
        <f t="shared" si="14"/>
        <v>10-Compte compteur</v>
      </c>
      <c r="R206" s="153" t="str">
        <f t="shared" si="14"/>
        <v>4137</v>
      </c>
      <c r="S206" s="154">
        <f t="shared" si="14"/>
        <v>0</v>
      </c>
      <c r="T206" s="156" t="str">
        <f>+VLOOKUP($L206,Data_Validation!$A:$D,1,0)</f>
        <v>4137@</v>
      </c>
      <c r="U206" s="156" t="str">
        <f>+VLOOKUP($L206,Data_Validation!$A:$D,3,0)</f>
        <v>Véhicules neufs</v>
      </c>
      <c r="V206" s="156" t="str">
        <f>+VLOOKUP($L206,Data_Validation!$A:$D,4,0)</f>
        <v>Flottes</v>
      </c>
      <c r="W206" s="156" t="str">
        <f>+VLOOKUP($L206,Data_Validation!$A:$E,5,0)</f>
        <v>NB</v>
      </c>
      <c r="X206" s="156">
        <f>+VLOOKUP($L206,Data_Validation!$A:$F,6,0)</f>
        <v>0</v>
      </c>
    </row>
    <row r="207" spans="1:24" ht="15" hidden="1" customHeight="1">
      <c r="A207" s="1012" t="s">
        <v>2004</v>
      </c>
      <c r="B207" s="1012" t="s">
        <v>2005</v>
      </c>
      <c r="C207" s="1034">
        <v>-542286.49</v>
      </c>
      <c r="D207" s="1034">
        <v>-162506.6</v>
      </c>
      <c r="E207" s="1034">
        <v>-704793.09</v>
      </c>
      <c r="F207" s="1012" t="s">
        <v>285</v>
      </c>
      <c r="G207" s="1012" t="s">
        <v>2005</v>
      </c>
      <c r="H207" s="1013"/>
      <c r="I207" s="1014"/>
      <c r="J207" s="1014"/>
      <c r="K207" s="1014"/>
      <c r="L207" s="153" t="str">
        <f t="shared" si="0"/>
        <v>4139</v>
      </c>
      <c r="M207" s="154" t="str">
        <f t="shared" si="1"/>
        <v>VTE - VW FLOTTE/VENTE ENTR/EMPLOYE/VEH DEMONS</v>
      </c>
      <c r="N207" s="155">
        <f>+IF(OR($Q207=Parametres!$G$2,$Q207=Parametres!$G$3),I207,C207)</f>
        <v>-542286.49</v>
      </c>
      <c r="O207" s="155">
        <f>+IF(OR($Q207=Parametres!$G$2,$Q207=Parametres!$G$3),J207,D207)</f>
        <v>-162506.6</v>
      </c>
      <c r="P207" s="155">
        <f>+IF(OR($Q207=Parametres!$G$2,$Q207=Parametres!$G$3),K207,E207)</f>
        <v>-704793.09</v>
      </c>
      <c r="Q207" s="154" t="str">
        <f t="shared" si="14"/>
        <v>5-Ventes</v>
      </c>
      <c r="R207" s="153" t="str">
        <f t="shared" si="14"/>
        <v>4139</v>
      </c>
      <c r="S207" s="154">
        <f t="shared" si="14"/>
        <v>0</v>
      </c>
      <c r="T207" s="156" t="str">
        <f>+VLOOKUP($L207,Data_Validation!$A:$D,1,0)</f>
        <v>4139</v>
      </c>
      <c r="U207" s="156" t="str">
        <f>+VLOOKUP($L207,Data_Validation!$A:$D,3,0)</f>
        <v>Véhicules neufs</v>
      </c>
      <c r="V207" s="156" t="str">
        <f>+VLOOKUP($L207,Data_Validation!$A:$D,4,0)</f>
        <v>Ex-Démos et courtoisies</v>
      </c>
      <c r="W207" s="156" t="str">
        <f>+VLOOKUP($L207,Data_Validation!$A:$E,5,0)</f>
        <v>$</v>
      </c>
      <c r="X207" s="156" t="str">
        <f>+VLOOKUP($L207,Data_Validation!$A:$F,6,0)</f>
        <v>Oui</v>
      </c>
    </row>
    <row r="208" spans="1:24" ht="15" hidden="1" customHeight="1">
      <c r="A208" s="1012" t="s">
        <v>2509</v>
      </c>
      <c r="B208" s="1012" t="s">
        <v>2510</v>
      </c>
      <c r="C208" s="1014"/>
      <c r="D208" s="1014"/>
      <c r="E208" s="1014"/>
      <c r="F208" s="1012" t="s">
        <v>4</v>
      </c>
      <c r="G208" s="1012" t="s">
        <v>2005</v>
      </c>
      <c r="H208" s="1013"/>
      <c r="I208" s="1013">
        <v>-18</v>
      </c>
      <c r="J208" s="1013">
        <v>-5</v>
      </c>
      <c r="K208" s="1034">
        <v>-23</v>
      </c>
      <c r="L208" s="153" t="str">
        <f t="shared" si="0"/>
        <v>4139@</v>
      </c>
      <c r="M208" s="154" t="str">
        <f t="shared" si="1"/>
        <v>VENTES A PARK AVENUE LOCATION</v>
      </c>
      <c r="N208" s="155">
        <f>+IF(OR($Q208=Parametres!$G$2,$Q208=Parametres!$G$3),I208,C208)</f>
        <v>-18</v>
      </c>
      <c r="O208" s="155">
        <f>+IF(OR($Q208=Parametres!$G$2,$Q208=Parametres!$G$3),J208,D208)</f>
        <v>-5</v>
      </c>
      <c r="P208" s="155">
        <f>+IF(OR($Q208=Parametres!$G$2,$Q208=Parametres!$G$3),K208,E208)</f>
        <v>-23</v>
      </c>
      <c r="Q208" s="154" t="str">
        <f t="shared" si="14"/>
        <v>10-Compte compteur</v>
      </c>
      <c r="R208" s="153" t="str">
        <f t="shared" si="14"/>
        <v>4139</v>
      </c>
      <c r="S208" s="154">
        <f t="shared" si="14"/>
        <v>0</v>
      </c>
      <c r="T208" s="156" t="str">
        <f>+VLOOKUP($L208,Data_Validation!$A:$D,1,0)</f>
        <v>4139@</v>
      </c>
      <c r="U208" s="156" t="str">
        <f>+VLOOKUP($L208,Data_Validation!$A:$D,3,0)</f>
        <v>Véhicules neufs</v>
      </c>
      <c r="V208" s="156" t="str">
        <f>+VLOOKUP($L208,Data_Validation!$A:$D,4,0)</f>
        <v>Ex-Démos et courtoisies</v>
      </c>
      <c r="W208" s="156" t="str">
        <f>+VLOOKUP($L208,Data_Validation!$A:$E,5,0)</f>
        <v>NB</v>
      </c>
      <c r="X208" s="156">
        <f>+VLOOKUP($L208,Data_Validation!$A:$F,6,0)</f>
        <v>0</v>
      </c>
    </row>
    <row r="209" spans="1:24" ht="15" hidden="1" customHeight="1">
      <c r="A209" s="1012" t="s">
        <v>2000</v>
      </c>
      <c r="B209" s="1012" t="s">
        <v>2001</v>
      </c>
      <c r="C209" s="1034">
        <v>-496892.45</v>
      </c>
      <c r="D209" s="1034">
        <v>-662449.02</v>
      </c>
      <c r="E209" s="1034">
        <v>-1159341.47</v>
      </c>
      <c r="F209" s="1012" t="s">
        <v>285</v>
      </c>
      <c r="G209" s="1012" t="s">
        <v>2001</v>
      </c>
      <c r="H209" s="1013"/>
      <c r="I209" s="1014"/>
      <c r="J209" s="1014"/>
      <c r="K209" s="1014"/>
      <c r="L209" s="153" t="str">
        <f t="shared" si="0"/>
        <v>4201</v>
      </c>
      <c r="M209" s="154" t="str">
        <f t="shared" si="1"/>
        <v>VTE - VEH.USAGE VW DETAIL CERTIFIE</v>
      </c>
      <c r="N209" s="155">
        <f>+IF(OR($Q209=Parametres!$G$2,$Q209=Parametres!$G$3),I209,C209)</f>
        <v>-496892.45</v>
      </c>
      <c r="O209" s="155">
        <f>+IF(OR($Q209=Parametres!$G$2,$Q209=Parametres!$G$3),J209,D209)</f>
        <v>-662449.02</v>
      </c>
      <c r="P209" s="155">
        <f>+IF(OR($Q209=Parametres!$G$2,$Q209=Parametres!$G$3),K209,E209)</f>
        <v>-1159341.47</v>
      </c>
      <c r="Q209" s="154" t="str">
        <f t="shared" si="14"/>
        <v>5-Ventes</v>
      </c>
      <c r="R209" s="153" t="str">
        <f t="shared" si="14"/>
        <v>4201</v>
      </c>
      <c r="S209" s="154">
        <f t="shared" si="14"/>
        <v>0</v>
      </c>
      <c r="T209" s="156" t="str">
        <f>+VLOOKUP($L209,Data_Validation!$A:$D,1,0)</f>
        <v>4201</v>
      </c>
      <c r="U209" s="156" t="str">
        <f>+VLOOKUP($L209,Data_Validation!$A:$D,3,0)</f>
        <v>Véhicules usagés</v>
      </c>
      <c r="V209" s="156" t="str">
        <f>+VLOOKUP($L209,Data_Validation!$A:$D,4,0)</f>
        <v>Certifié</v>
      </c>
      <c r="W209" s="156" t="str">
        <f>+VLOOKUP($L209,Data_Validation!$A:$E,5,0)</f>
        <v>$</v>
      </c>
      <c r="X209" s="156" t="str">
        <f>+VLOOKUP($L209,Data_Validation!$A:$F,6,0)</f>
        <v>Oui</v>
      </c>
    </row>
    <row r="210" spans="1:24" ht="15" hidden="1" customHeight="1">
      <c r="A210" s="1012" t="s">
        <v>2511</v>
      </c>
      <c r="B210" s="1012" t="s">
        <v>2512</v>
      </c>
      <c r="C210" s="1014"/>
      <c r="D210" s="1014"/>
      <c r="E210" s="1014"/>
      <c r="F210" s="1012" t="s">
        <v>4</v>
      </c>
      <c r="G210" s="1012" t="s">
        <v>2001</v>
      </c>
      <c r="H210" s="1013"/>
      <c r="I210" s="1013">
        <v>-30</v>
      </c>
      <c r="J210" s="1013">
        <v>-36</v>
      </c>
      <c r="K210" s="1013">
        <v>-66</v>
      </c>
      <c r="L210" s="153" t="str">
        <f t="shared" si="0"/>
        <v>4201@</v>
      </c>
      <c r="M210" s="154" t="str">
        <f t="shared" si="1"/>
        <v># DE VTE - VEH.USAGE VW DET.CERT.</v>
      </c>
      <c r="N210" s="155">
        <f>+IF(OR($Q210=Parametres!$G$2,$Q210=Parametres!$G$3),I210,C210)</f>
        <v>-30</v>
      </c>
      <c r="O210" s="155">
        <f>+IF(OR($Q210=Parametres!$G$2,$Q210=Parametres!$G$3),J210,D210)</f>
        <v>-36</v>
      </c>
      <c r="P210" s="155">
        <f>+IF(OR($Q210=Parametres!$G$2,$Q210=Parametres!$G$3),K210,E210)</f>
        <v>-66</v>
      </c>
      <c r="Q210" s="154" t="str">
        <f t="shared" ref="Q210:S225" si="15">+F210</f>
        <v>10-Compte compteur</v>
      </c>
      <c r="R210" s="153" t="str">
        <f t="shared" si="15"/>
        <v>4201</v>
      </c>
      <c r="S210" s="154">
        <f t="shared" si="15"/>
        <v>0</v>
      </c>
      <c r="T210" s="156" t="str">
        <f>+VLOOKUP($L210,Data_Validation!$A:$D,1,0)</f>
        <v>4201@</v>
      </c>
      <c r="U210" s="156" t="str">
        <f>+VLOOKUP($L210,Data_Validation!$A:$D,3,0)</f>
        <v>Véhicules usagés</v>
      </c>
      <c r="V210" s="156" t="str">
        <f>+VLOOKUP($L210,Data_Validation!$A:$D,4,0)</f>
        <v>Certifié</v>
      </c>
      <c r="W210" s="156" t="str">
        <f>+VLOOKUP($L210,Data_Validation!$A:$E,5,0)</f>
        <v>NB</v>
      </c>
      <c r="X210" s="156">
        <f>+VLOOKUP($L210,Data_Validation!$A:$F,6,0)</f>
        <v>0</v>
      </c>
    </row>
    <row r="211" spans="1:24" ht="15.75" hidden="1" customHeight="1">
      <c r="A211" s="1012" t="s">
        <v>2443</v>
      </c>
      <c r="B211" s="1012" t="s">
        <v>2444</v>
      </c>
      <c r="C211" s="1034">
        <v>-2318103.5099999998</v>
      </c>
      <c r="D211" s="1034">
        <v>-15338</v>
      </c>
      <c r="E211" s="1034">
        <v>-2333441.5099999998</v>
      </c>
      <c r="F211" s="1012" t="s">
        <v>285</v>
      </c>
      <c r="G211" s="1012" t="s">
        <v>2444</v>
      </c>
      <c r="H211" s="1013"/>
      <c r="I211" s="1014"/>
      <c r="J211" s="1014"/>
      <c r="K211" s="1014"/>
      <c r="L211" s="153" t="str">
        <f t="shared" si="0"/>
        <v>4211</v>
      </c>
      <c r="M211" s="154" t="str">
        <f t="shared" si="1"/>
        <v>VTE - VW USAGES DETAIL</v>
      </c>
      <c r="N211" s="155">
        <f>+IF(OR($Q211=Parametres!$G$2,$Q211=Parametres!$G$3),I211,C211)</f>
        <v>-2318103.5099999998</v>
      </c>
      <c r="O211" s="155">
        <f>+IF(OR($Q211=Parametres!$G$2,$Q211=Parametres!$G$3),J211,D211)</f>
        <v>-15338</v>
      </c>
      <c r="P211" s="155">
        <f>+IF(OR($Q211=Parametres!$G$2,$Q211=Parametres!$G$3),K211,E211)</f>
        <v>-2333441.5099999998</v>
      </c>
      <c r="Q211" s="154" t="str">
        <f t="shared" si="15"/>
        <v>5-Ventes</v>
      </c>
      <c r="R211" s="153" t="str">
        <f t="shared" si="15"/>
        <v>4211</v>
      </c>
      <c r="S211" s="154">
        <f t="shared" si="15"/>
        <v>0</v>
      </c>
      <c r="T211" s="156" t="str">
        <f>+VLOOKUP($L211,Data_Validation!$A:$D,1,0)</f>
        <v>4211</v>
      </c>
      <c r="U211" s="156" t="str">
        <f>+VLOOKUP($L211,Data_Validation!$A:$D,3,0)</f>
        <v>Véhicules usagés</v>
      </c>
      <c r="V211" s="156" t="str">
        <f>+VLOOKUP($L211,Data_Validation!$A:$D,4,0)</f>
        <v>Non Certifié</v>
      </c>
      <c r="W211" s="156" t="str">
        <f>+VLOOKUP($L211,Data_Validation!$A:$E,5,0)</f>
        <v>$</v>
      </c>
      <c r="X211" s="156" t="str">
        <f>+VLOOKUP($L211,Data_Validation!$A:$F,6,0)</f>
        <v>Oui</v>
      </c>
    </row>
    <row r="212" spans="1:24" ht="15" hidden="1" customHeight="1">
      <c r="A212" s="1012" t="s">
        <v>2513</v>
      </c>
      <c r="B212" s="1012" t="s">
        <v>2514</v>
      </c>
      <c r="C212" s="1014"/>
      <c r="D212" s="1014"/>
      <c r="E212" s="1014"/>
      <c r="F212" s="1012" t="s">
        <v>4</v>
      </c>
      <c r="G212" s="1012" t="s">
        <v>2444</v>
      </c>
      <c r="H212" s="1013"/>
      <c r="I212" s="1013">
        <v>-127</v>
      </c>
      <c r="J212" s="1013">
        <v>-1</v>
      </c>
      <c r="K212" s="1013">
        <v>-128</v>
      </c>
      <c r="L212" s="153" t="str">
        <f t="shared" si="0"/>
        <v>4211@</v>
      </c>
      <c r="M212" s="154" t="str">
        <f t="shared" si="1"/>
        <v>VENTES USED DET. CHAMBLY</v>
      </c>
      <c r="N212" s="155">
        <f>+IF(OR($Q212=Parametres!$G$2,$Q212=Parametres!$G$3),I212,C212)</f>
        <v>-127</v>
      </c>
      <c r="O212" s="155">
        <f>+IF(OR($Q212=Parametres!$G$2,$Q212=Parametres!$G$3),J212,D212)</f>
        <v>-1</v>
      </c>
      <c r="P212" s="155">
        <f>+IF(OR($Q212=Parametres!$G$2,$Q212=Parametres!$G$3),K212,E212)</f>
        <v>-128</v>
      </c>
      <c r="Q212" s="154" t="str">
        <f t="shared" si="15"/>
        <v>10-Compte compteur</v>
      </c>
      <c r="R212" s="153" t="str">
        <f t="shared" si="15"/>
        <v>4211</v>
      </c>
      <c r="S212" s="154">
        <f t="shared" si="15"/>
        <v>0</v>
      </c>
      <c r="T212" s="156" t="str">
        <f>+VLOOKUP($L212,Data_Validation!$A:$D,1,0)</f>
        <v>4211@</v>
      </c>
      <c r="U212" s="156" t="str">
        <f>+VLOOKUP($L212,Data_Validation!$A:$D,3,0)</f>
        <v>Véhicules usagés</v>
      </c>
      <c r="V212" s="156" t="str">
        <f>+VLOOKUP($L212,Data_Validation!$A:$D,4,0)</f>
        <v>Non Certifié</v>
      </c>
      <c r="W212" s="156" t="str">
        <f>+VLOOKUP($L212,Data_Validation!$A:$E,5,0)</f>
        <v>NB</v>
      </c>
      <c r="X212" s="156">
        <f>+VLOOKUP($L212,Data_Validation!$A:$F,6,0)</f>
        <v>0</v>
      </c>
    </row>
    <row r="213" spans="1:24" ht="15" hidden="1" customHeight="1">
      <c r="A213" s="1012" t="s">
        <v>2038</v>
      </c>
      <c r="B213" s="1012" t="s">
        <v>2039</v>
      </c>
      <c r="C213" s="1034">
        <v>-751258.6</v>
      </c>
      <c r="D213" s="1034">
        <v>-68056</v>
      </c>
      <c r="E213" s="1034">
        <v>-819314.6</v>
      </c>
      <c r="F213" s="1012" t="s">
        <v>285</v>
      </c>
      <c r="G213" s="1012" t="s">
        <v>2040</v>
      </c>
      <c r="H213" s="1013"/>
      <c r="I213" s="1014"/>
      <c r="J213" s="1014"/>
      <c r="K213" s="1014"/>
      <c r="L213" s="153" t="str">
        <f t="shared" si="0"/>
        <v>4285</v>
      </c>
      <c r="M213" s="154" t="str">
        <f t="shared" si="1"/>
        <v>VEH. D'OCC. AUTRE DETAIL</v>
      </c>
      <c r="N213" s="155">
        <f>+IF(OR($Q213=Parametres!$G$2,$Q213=Parametres!$G$3),I213,C213)</f>
        <v>-751258.6</v>
      </c>
      <c r="O213" s="155">
        <f>+IF(OR($Q213=Parametres!$G$2,$Q213=Parametres!$G$3),J213,D213)</f>
        <v>-68056</v>
      </c>
      <c r="P213" s="155">
        <f>+IF(OR($Q213=Parametres!$G$2,$Q213=Parametres!$G$3),K213,E213)</f>
        <v>-819314.6</v>
      </c>
      <c r="Q213" s="154" t="str">
        <f t="shared" si="15"/>
        <v>5-Ventes</v>
      </c>
      <c r="R213" s="153" t="str">
        <f t="shared" si="15"/>
        <v>4261</v>
      </c>
      <c r="S213" s="154">
        <f t="shared" si="15"/>
        <v>0</v>
      </c>
      <c r="T213" s="156" t="str">
        <f>+VLOOKUP($L213,Data_Validation!$A:$D,1,0)</f>
        <v>4285</v>
      </c>
      <c r="U213" s="156" t="str">
        <f>+VLOOKUP($L213,Data_Validation!$A:$D,3,0)</f>
        <v>Véhicules usagés</v>
      </c>
      <c r="V213" s="156" t="str">
        <f>+VLOOKUP($L213,Data_Validation!$A:$D,4,0)</f>
        <v>Non Certifié</v>
      </c>
      <c r="W213" s="156" t="str">
        <f>+VLOOKUP($L213,Data_Validation!$A:$E,5,0)</f>
        <v>$</v>
      </c>
      <c r="X213" s="156" t="str">
        <f>+VLOOKUP($L213,Data_Validation!$A:$F,6,0)</f>
        <v>Oui</v>
      </c>
    </row>
    <row r="214" spans="1:24" ht="15" hidden="1" customHeight="1">
      <c r="A214" s="1012" t="s">
        <v>2515</v>
      </c>
      <c r="B214" s="1012" t="s">
        <v>2516</v>
      </c>
      <c r="C214" s="1014"/>
      <c r="D214" s="1014"/>
      <c r="E214" s="1014"/>
      <c r="F214" s="1012" t="s">
        <v>4</v>
      </c>
      <c r="G214" s="1012" t="s">
        <v>2040</v>
      </c>
      <c r="H214" s="1013"/>
      <c r="I214" s="1013">
        <v>-37</v>
      </c>
      <c r="J214" s="1013">
        <v>-5</v>
      </c>
      <c r="K214" s="1013">
        <v>-42</v>
      </c>
      <c r="L214" s="153" t="str">
        <f t="shared" si="0"/>
        <v>4285@</v>
      </c>
      <c r="M214" s="154" t="str">
        <f t="shared" si="1"/>
        <v>AUTRE MARQUES DETAIL - USAGE</v>
      </c>
      <c r="N214" s="155">
        <f>+IF(OR($Q214=Parametres!$G$2,$Q214=Parametres!$G$3),I214,C214)</f>
        <v>-37</v>
      </c>
      <c r="O214" s="155">
        <f>+IF(OR($Q214=Parametres!$G$2,$Q214=Parametres!$G$3),J214,D214)</f>
        <v>-5</v>
      </c>
      <c r="P214" s="155">
        <f>+IF(OR($Q214=Parametres!$G$2,$Q214=Parametres!$G$3),K214,E214)</f>
        <v>-42</v>
      </c>
      <c r="Q214" s="154" t="str">
        <f t="shared" si="15"/>
        <v>10-Compte compteur</v>
      </c>
      <c r="R214" s="153" t="str">
        <f t="shared" si="15"/>
        <v>4261</v>
      </c>
      <c r="S214" s="154">
        <f t="shared" si="15"/>
        <v>0</v>
      </c>
      <c r="T214" s="156" t="str">
        <f>+VLOOKUP($L214,Data_Validation!$A:$D,1,0)</f>
        <v>4285@</v>
      </c>
      <c r="U214" s="156" t="str">
        <f>+VLOOKUP($L214,Data_Validation!$A:$D,3,0)</f>
        <v>Véhicules usagés</v>
      </c>
      <c r="V214" s="156" t="str">
        <f>+VLOOKUP($L214,Data_Validation!$A:$D,4,0)</f>
        <v>Non Certifié</v>
      </c>
      <c r="W214" s="156" t="str">
        <f>+VLOOKUP($L214,Data_Validation!$A:$E,5,0)</f>
        <v>NB</v>
      </c>
      <c r="X214" s="156">
        <f>+VLOOKUP($L214,Data_Validation!$A:$F,6,0)</f>
        <v>0</v>
      </c>
    </row>
    <row r="215" spans="1:24" ht="15.75" hidden="1" customHeight="1">
      <c r="A215" s="1012" t="s">
        <v>2006</v>
      </c>
      <c r="B215" s="1012" t="s">
        <v>2007</v>
      </c>
      <c r="C215" s="1034">
        <v>-1236865.5</v>
      </c>
      <c r="D215" s="1034">
        <v>-343580</v>
      </c>
      <c r="E215" s="1034">
        <v>-1580445.5</v>
      </c>
      <c r="F215" s="1012" t="s">
        <v>285</v>
      </c>
      <c r="G215" s="1012" t="s">
        <v>2008</v>
      </c>
      <c r="H215" s="1013"/>
      <c r="I215" s="1014"/>
      <c r="J215" s="1014"/>
      <c r="K215" s="1014"/>
      <c r="L215" s="153" t="str">
        <f t="shared" si="0"/>
        <v>4291</v>
      </c>
      <c r="M215" s="154" t="str">
        <f t="shared" si="1"/>
        <v>VEH. D'OCC. AU GROS</v>
      </c>
      <c r="N215" s="155">
        <f>+IF(OR($Q215=Parametres!$G$2,$Q215=Parametres!$G$3),I215,C215)</f>
        <v>-1236865.5</v>
      </c>
      <c r="O215" s="155">
        <f>+IF(OR($Q215=Parametres!$G$2,$Q215=Parametres!$G$3),J215,D215)</f>
        <v>-343580</v>
      </c>
      <c r="P215" s="155">
        <f>+IF(OR($Q215=Parametres!$G$2,$Q215=Parametres!$G$3),K215,E215)</f>
        <v>-1580445.5</v>
      </c>
      <c r="Q215" s="154" t="str">
        <f t="shared" si="15"/>
        <v>5-Ventes</v>
      </c>
      <c r="R215" s="153" t="str">
        <f t="shared" si="15"/>
        <v>4281</v>
      </c>
      <c r="S215" s="154">
        <f t="shared" si="15"/>
        <v>0</v>
      </c>
      <c r="T215" s="156" t="str">
        <f>+VLOOKUP($L215,Data_Validation!$A:$D,1,0)</f>
        <v>4291</v>
      </c>
      <c r="U215" s="156" t="str">
        <f>+VLOOKUP($L215,Data_Validation!$A:$D,3,0)</f>
        <v>Véhicules usagés</v>
      </c>
      <c r="V215" s="156" t="str">
        <f>+VLOOKUP($L215,Data_Validation!$A:$D,4,0)</f>
        <v>Ventes au Gros</v>
      </c>
      <c r="W215" s="156" t="str">
        <f>+VLOOKUP($L215,Data_Validation!$A:$E,5,0)</f>
        <v>$</v>
      </c>
      <c r="X215" s="156" t="str">
        <f>+VLOOKUP($L215,Data_Validation!$A:$F,6,0)</f>
        <v>Oui</v>
      </c>
    </row>
    <row r="216" spans="1:24" ht="15" hidden="1" customHeight="1">
      <c r="A216" s="1012" t="s">
        <v>2517</v>
      </c>
      <c r="B216" s="1012" t="s">
        <v>2518</v>
      </c>
      <c r="C216" s="1014"/>
      <c r="D216" s="1014"/>
      <c r="E216" s="1014"/>
      <c r="F216" s="1012" t="s">
        <v>4</v>
      </c>
      <c r="G216" s="1012" t="s">
        <v>2008</v>
      </c>
      <c r="H216" s="1013"/>
      <c r="I216" s="1034">
        <v>-135</v>
      </c>
      <c r="J216" s="1013">
        <v>-41</v>
      </c>
      <c r="K216" s="1034">
        <v>-176</v>
      </c>
      <c r="L216" s="153" t="str">
        <f t="shared" si="0"/>
        <v>4291@</v>
      </c>
      <c r="M216" s="154" t="str">
        <f t="shared" si="1"/>
        <v>VENTE AU GROS - USAGES</v>
      </c>
      <c r="N216" s="155">
        <f>+IF(OR($Q216=Parametres!$G$2,$Q216=Parametres!$G$3),I216,C216)</f>
        <v>-135</v>
      </c>
      <c r="O216" s="155">
        <f>+IF(OR($Q216=Parametres!$G$2,$Q216=Parametres!$G$3),J216,D216)</f>
        <v>-41</v>
      </c>
      <c r="P216" s="155">
        <f>+IF(OR($Q216=Parametres!$G$2,$Q216=Parametres!$G$3),K216,E216)</f>
        <v>-176</v>
      </c>
      <c r="Q216" s="154" t="str">
        <f t="shared" si="15"/>
        <v>10-Compte compteur</v>
      </c>
      <c r="R216" s="153" t="str">
        <f t="shared" si="15"/>
        <v>4281</v>
      </c>
      <c r="S216" s="154">
        <f t="shared" si="15"/>
        <v>0</v>
      </c>
      <c r="T216" s="156" t="str">
        <f>+VLOOKUP($L216,Data_Validation!$A:$D,1,0)</f>
        <v>4291@</v>
      </c>
      <c r="U216" s="156" t="str">
        <f>+VLOOKUP($L216,Data_Validation!$A:$D,3,0)</f>
        <v>Véhicules usagés</v>
      </c>
      <c r="V216" s="156" t="str">
        <f>+VLOOKUP($L216,Data_Validation!$A:$D,4,0)</f>
        <v>Ventes au Gros</v>
      </c>
      <c r="W216" s="156" t="str">
        <f>+VLOOKUP($L216,Data_Validation!$A:$E,5,0)</f>
        <v>NB</v>
      </c>
      <c r="X216" s="156">
        <f>+VLOOKUP($L216,Data_Validation!$A:$F,6,0)</f>
        <v>0</v>
      </c>
    </row>
    <row r="217" spans="1:24" ht="15" hidden="1" customHeight="1">
      <c r="A217" s="1012" t="s">
        <v>2011</v>
      </c>
      <c r="B217" s="1012" t="s">
        <v>2012</v>
      </c>
      <c r="C217" s="1034">
        <v>-635685.74</v>
      </c>
      <c r="D217" s="1034">
        <v>-88531.199999999997</v>
      </c>
      <c r="E217" s="1034">
        <v>-724216.94</v>
      </c>
      <c r="F217" s="1012" t="s">
        <v>285</v>
      </c>
      <c r="G217" s="1012" t="s">
        <v>2012</v>
      </c>
      <c r="H217" s="1013"/>
      <c r="I217" s="1014"/>
      <c r="J217" s="1014"/>
      <c r="K217" s="1014"/>
      <c r="L217" s="153" t="str">
        <f t="shared" si="0"/>
        <v>4401</v>
      </c>
      <c r="M217" s="154" t="str">
        <f t="shared" si="1"/>
        <v>M.O. MECANIQUE-VENTE CLIENTS</v>
      </c>
      <c r="N217" s="155">
        <f>+IF(OR($Q217=Parametres!$G$2,$Q217=Parametres!$G$3),I217,C217)</f>
        <v>-635685.74</v>
      </c>
      <c r="O217" s="155">
        <f>+IF(OR($Q217=Parametres!$G$2,$Q217=Parametres!$G$3),J217,D217)</f>
        <v>-88531.199999999997</v>
      </c>
      <c r="P217" s="155">
        <f>+IF(OR($Q217=Parametres!$G$2,$Q217=Parametres!$G$3),K217,E217)</f>
        <v>-724216.94</v>
      </c>
      <c r="Q217" s="154" t="str">
        <f t="shared" si="15"/>
        <v>5-Ventes</v>
      </c>
      <c r="R217" s="153" t="str">
        <f t="shared" si="15"/>
        <v>4401</v>
      </c>
      <c r="S217" s="154">
        <f t="shared" si="15"/>
        <v>0</v>
      </c>
      <c r="T217" s="156" t="str">
        <f>+VLOOKUP($L217,Data_Validation!$A:$D,1,0)</f>
        <v>4401</v>
      </c>
      <c r="U217" s="156" t="str">
        <f>+VLOOKUP($L217,Data_Validation!$A:$D,3,0)</f>
        <v>Service</v>
      </c>
      <c r="V217" s="156" t="str">
        <f>+VLOOKUP($L217,Data_Validation!$A:$D,4,0)</f>
        <v>M/O Client</v>
      </c>
      <c r="W217" s="156" t="str">
        <f>+VLOOKUP($L217,Data_Validation!$A:$E,5,0)</f>
        <v>$</v>
      </c>
      <c r="X217" s="156" t="str">
        <f>+VLOOKUP($L217,Data_Validation!$A:$F,6,0)</f>
        <v>Oui</v>
      </c>
    </row>
    <row r="218" spans="1:24" ht="15" hidden="1" customHeight="1">
      <c r="A218" s="1012" t="s">
        <v>2011</v>
      </c>
      <c r="B218" s="1012" t="s">
        <v>2519</v>
      </c>
      <c r="C218" s="1014"/>
      <c r="D218" s="1014"/>
      <c r="E218" s="1014"/>
      <c r="F218" s="1012" t="s">
        <v>4</v>
      </c>
      <c r="G218" s="1012" t="s">
        <v>2012</v>
      </c>
      <c r="H218" s="1013"/>
      <c r="I218" s="1034">
        <v>-2742</v>
      </c>
      <c r="J218" s="1013">
        <v>-358</v>
      </c>
      <c r="K218" s="1034">
        <v>-3100</v>
      </c>
      <c r="L218" s="153" t="str">
        <f t="shared" si="0"/>
        <v>4401@</v>
      </c>
      <c r="M218" s="154" t="str">
        <f t="shared" si="1"/>
        <v>M.O. MECANIQUE-VENTE CLIENTS</v>
      </c>
      <c r="N218" s="155">
        <f>+IF(OR($Q218=Parametres!$G$2,$Q218=Parametres!$G$3),I218,C218)</f>
        <v>-2742</v>
      </c>
      <c r="O218" s="155">
        <f>+IF(OR($Q218=Parametres!$G$2,$Q218=Parametres!$G$3),J218,D218)</f>
        <v>-358</v>
      </c>
      <c r="P218" s="155">
        <f>+IF(OR($Q218=Parametres!$G$2,$Q218=Parametres!$G$3),K218,E218)</f>
        <v>-3100</v>
      </c>
      <c r="Q218" s="154" t="str">
        <f t="shared" si="15"/>
        <v>10-Compte compteur</v>
      </c>
      <c r="R218" s="153" t="str">
        <f t="shared" si="15"/>
        <v>4401</v>
      </c>
      <c r="S218" s="154">
        <f t="shared" si="15"/>
        <v>0</v>
      </c>
      <c r="T218" s="156" t="str">
        <f>+VLOOKUP($L218,Data_Validation!$A:$D,1,0)</f>
        <v>4401@</v>
      </c>
      <c r="U218" s="156" t="str">
        <f>+VLOOKUP($L218,Data_Validation!$A:$D,3,0)</f>
        <v>Service</v>
      </c>
      <c r="V218" s="156" t="str">
        <f>+VLOOKUP($L218,Data_Validation!$A:$D,4,0)</f>
        <v>M/O Client</v>
      </c>
      <c r="W218" s="156" t="str">
        <f>+VLOOKUP($L218,Data_Validation!$A:$E,5,0)</f>
        <v>NB</v>
      </c>
      <c r="X218" s="156">
        <f>+VLOOKUP($L218,Data_Validation!$A:$F,6,0)</f>
        <v>0</v>
      </c>
    </row>
    <row r="219" spans="1:24" ht="15.75" hidden="1" customHeight="1">
      <c r="A219" s="1012" t="s">
        <v>2191</v>
      </c>
      <c r="B219" s="1012" t="s">
        <v>2192</v>
      </c>
      <c r="C219" s="1034">
        <v>-562</v>
      </c>
      <c r="D219" s="1034">
        <v>-99.96</v>
      </c>
      <c r="E219" s="1034">
        <v>-661.96</v>
      </c>
      <c r="F219" s="1012" t="s">
        <v>285</v>
      </c>
      <c r="G219" s="1012" t="s">
        <v>2192</v>
      </c>
      <c r="H219" s="1013"/>
      <c r="I219" s="1014"/>
      <c r="J219" s="1014"/>
      <c r="K219" s="1014"/>
      <c r="L219" s="153" t="str">
        <f t="shared" si="0"/>
        <v>4402</v>
      </c>
      <c r="M219" s="154" t="str">
        <f t="shared" si="1"/>
        <v>VTE - M.O. ESTHETIQUE CLIENT</v>
      </c>
      <c r="N219" s="155">
        <f>+IF(OR($Q219=Parametres!$G$2,$Q219=Parametres!$G$3),I219,C219)</f>
        <v>-562</v>
      </c>
      <c r="O219" s="155">
        <f>+IF(OR($Q219=Parametres!$G$2,$Q219=Parametres!$G$3),J219,D219)</f>
        <v>-99.96</v>
      </c>
      <c r="P219" s="155">
        <f>+IF(OR($Q219=Parametres!$G$2,$Q219=Parametres!$G$3),K219,E219)</f>
        <v>-661.96</v>
      </c>
      <c r="Q219" s="154" t="str">
        <f t="shared" si="15"/>
        <v>5-Ventes</v>
      </c>
      <c r="R219" s="153" t="str">
        <f t="shared" si="15"/>
        <v>4402</v>
      </c>
      <c r="S219" s="154">
        <f t="shared" si="15"/>
        <v>0</v>
      </c>
      <c r="T219" s="156" t="str">
        <f>+VLOOKUP($L219,Data_Validation!$A:$D,1,0)</f>
        <v>4402</v>
      </c>
      <c r="U219" s="156" t="str">
        <f>+VLOOKUP($L219,Data_Validation!$A:$D,3,0)</f>
        <v>Service</v>
      </c>
      <c r="V219" s="156" t="str">
        <f>+VLOOKUP($L219,Data_Validation!$A:$D,4,0)</f>
        <v>M/O Esthétique</v>
      </c>
      <c r="W219" s="156" t="str">
        <f>+VLOOKUP($L219,Data_Validation!$A:$E,5,0)</f>
        <v>$</v>
      </c>
      <c r="X219" s="156" t="str">
        <f>+VLOOKUP($L219,Data_Validation!$A:$F,6,0)</f>
        <v>Oui</v>
      </c>
    </row>
    <row r="220" spans="1:24" ht="15" hidden="1" customHeight="1">
      <c r="A220" s="1012" t="s">
        <v>2041</v>
      </c>
      <c r="B220" s="1012" t="s">
        <v>2042</v>
      </c>
      <c r="C220" s="1014">
        <v>-417682.11</v>
      </c>
      <c r="D220" s="1014">
        <v>-85164.4</v>
      </c>
      <c r="E220" s="1014">
        <v>-502846.51</v>
      </c>
      <c r="F220" s="1012" t="s">
        <v>285</v>
      </c>
      <c r="G220" s="1012" t="s">
        <v>2042</v>
      </c>
      <c r="H220" s="1013"/>
      <c r="I220" s="1013"/>
      <c r="J220" s="1013"/>
      <c r="K220" s="1013"/>
      <c r="L220" s="153" t="str">
        <f t="shared" si="0"/>
        <v>4403</v>
      </c>
      <c r="M220" s="154" t="str">
        <f t="shared" si="1"/>
        <v>M.O. MECANIQUE-VENTE GAR. MANU</v>
      </c>
      <c r="N220" s="155">
        <f>+IF(OR($Q220=Parametres!$G$2,$Q220=Parametres!$G$3),I220,C220)</f>
        <v>-417682.11</v>
      </c>
      <c r="O220" s="155">
        <f>+IF(OR($Q220=Parametres!$G$2,$Q220=Parametres!$G$3),J220,D220)</f>
        <v>-85164.4</v>
      </c>
      <c r="P220" s="155">
        <f>+IF(OR($Q220=Parametres!$G$2,$Q220=Parametres!$G$3),K220,E220)</f>
        <v>-502846.51</v>
      </c>
      <c r="Q220" s="154" t="str">
        <f t="shared" si="15"/>
        <v>5-Ventes</v>
      </c>
      <c r="R220" s="153" t="str">
        <f t="shared" si="15"/>
        <v>4403</v>
      </c>
      <c r="S220" s="154">
        <f t="shared" si="15"/>
        <v>0</v>
      </c>
      <c r="T220" s="156" t="str">
        <f>+VLOOKUP($L220,Data_Validation!$A:$D,1,0)</f>
        <v>4403</v>
      </c>
      <c r="U220" s="156" t="str">
        <f>+VLOOKUP($L220,Data_Validation!$A:$D,3,0)</f>
        <v>Service</v>
      </c>
      <c r="V220" s="156" t="str">
        <f>+VLOOKUP($L220,Data_Validation!$A:$D,4,0)</f>
        <v>M/O Garantie</v>
      </c>
      <c r="W220" s="156" t="str">
        <f>+VLOOKUP($L220,Data_Validation!$A:$E,5,0)</f>
        <v>$</v>
      </c>
      <c r="X220" s="156" t="str">
        <f>+VLOOKUP($L220,Data_Validation!$A:$F,6,0)</f>
        <v>Oui</v>
      </c>
    </row>
    <row r="221" spans="1:24" ht="15" hidden="1" customHeight="1">
      <c r="A221" s="1012" t="s">
        <v>2041</v>
      </c>
      <c r="B221" s="1012" t="s">
        <v>2522</v>
      </c>
      <c r="C221" s="1034"/>
      <c r="D221" s="1034"/>
      <c r="E221" s="1034"/>
      <c r="F221" s="1012" t="s">
        <v>4</v>
      </c>
      <c r="G221" s="1012" t="s">
        <v>2042</v>
      </c>
      <c r="H221" s="1013"/>
      <c r="I221" s="1014">
        <v>-1939</v>
      </c>
      <c r="J221" s="1014">
        <v>-412</v>
      </c>
      <c r="K221" s="1014">
        <v>-2351</v>
      </c>
      <c r="L221" s="153" t="str">
        <f t="shared" si="0"/>
        <v>4403@</v>
      </c>
      <c r="M221" s="154" t="str">
        <f t="shared" si="1"/>
        <v>M.O. MECANIQUE-VENTE GAR. MANU</v>
      </c>
      <c r="N221" s="155">
        <f>+IF(OR($Q221=Parametres!$G$2,$Q221=Parametres!$G$3),I221,C221)</f>
        <v>-1939</v>
      </c>
      <c r="O221" s="155">
        <f>+IF(OR($Q221=Parametres!$G$2,$Q221=Parametres!$G$3),J221,D221)</f>
        <v>-412</v>
      </c>
      <c r="P221" s="155">
        <f>+IF(OR($Q221=Parametres!$G$2,$Q221=Parametres!$G$3),K221,E221)</f>
        <v>-2351</v>
      </c>
      <c r="Q221" s="154" t="str">
        <f t="shared" si="15"/>
        <v>10-Compte compteur</v>
      </c>
      <c r="R221" s="153" t="str">
        <f t="shared" si="15"/>
        <v>4403</v>
      </c>
      <c r="S221" s="154">
        <f t="shared" si="15"/>
        <v>0</v>
      </c>
      <c r="T221" s="156" t="str">
        <f>+VLOOKUP($L221,Data_Validation!$A:$D,1,0)</f>
        <v>4403@</v>
      </c>
      <c r="U221" s="156" t="str">
        <f>+VLOOKUP($L221,Data_Validation!$A:$D,3,0)</f>
        <v>Service</v>
      </c>
      <c r="V221" s="156" t="str">
        <f>+VLOOKUP($L221,Data_Validation!$A:$D,4,0)</f>
        <v>M/O Garantie</v>
      </c>
      <c r="W221" s="156" t="str">
        <f>+VLOOKUP($L221,Data_Validation!$A:$E,5,0)</f>
        <v>NB</v>
      </c>
      <c r="X221" s="156">
        <f>+VLOOKUP($L221,Data_Validation!$A:$F,6,0)</f>
        <v>0</v>
      </c>
    </row>
    <row r="222" spans="1:24" ht="15" hidden="1" customHeight="1">
      <c r="A222" s="1012" t="s">
        <v>2051</v>
      </c>
      <c r="B222" s="1012" t="s">
        <v>2052</v>
      </c>
      <c r="C222" s="1014">
        <v>-254116.87</v>
      </c>
      <c r="D222" s="1014">
        <v>-50206.68</v>
      </c>
      <c r="E222" s="1014">
        <v>-304323.55</v>
      </c>
      <c r="F222" s="1012" t="s">
        <v>285</v>
      </c>
      <c r="G222" s="1012" t="s">
        <v>2052</v>
      </c>
      <c r="H222" s="1013"/>
      <c r="I222" s="1034"/>
      <c r="J222" s="1013"/>
      <c r="K222" s="1034"/>
      <c r="L222" s="153" t="str">
        <f t="shared" si="0"/>
        <v>4405</v>
      </c>
      <c r="M222" s="154" t="str">
        <f t="shared" si="1"/>
        <v>M.O. MECANIQUE-VENTE INTERNE</v>
      </c>
      <c r="N222" s="155">
        <f>+IF(OR($Q222=Parametres!$G$2,$Q222=Parametres!$G$3),I222,C222)</f>
        <v>-254116.87</v>
      </c>
      <c r="O222" s="155">
        <f>+IF(OR($Q222=Parametres!$G$2,$Q222=Parametres!$G$3),J222,D222)</f>
        <v>-50206.68</v>
      </c>
      <c r="P222" s="155">
        <f>+IF(OR($Q222=Parametres!$G$2,$Q222=Parametres!$G$3),K222,E222)</f>
        <v>-304323.55</v>
      </c>
      <c r="Q222" s="154" t="str">
        <f t="shared" si="15"/>
        <v>5-Ventes</v>
      </c>
      <c r="R222" s="153" t="str">
        <f t="shared" si="15"/>
        <v>4405</v>
      </c>
      <c r="S222" s="154">
        <f t="shared" si="15"/>
        <v>0</v>
      </c>
      <c r="T222" s="156" t="str">
        <f>+VLOOKUP($L222,Data_Validation!$A:$D,1,0)</f>
        <v>4405</v>
      </c>
      <c r="U222" s="156" t="str">
        <f>+VLOOKUP($L222,Data_Validation!$A:$D,3,0)</f>
        <v>Service</v>
      </c>
      <c r="V222" s="156" t="str">
        <f>+VLOOKUP($L222,Data_Validation!$A:$D,4,0)</f>
        <v>M/O Interne</v>
      </c>
      <c r="W222" s="156" t="str">
        <f>+VLOOKUP($L222,Data_Validation!$A:$E,5,0)</f>
        <v>$</v>
      </c>
      <c r="X222" s="156" t="str">
        <f>+VLOOKUP($L222,Data_Validation!$A:$F,6,0)</f>
        <v>Oui</v>
      </c>
    </row>
    <row r="223" spans="1:24" ht="15" hidden="1" customHeight="1">
      <c r="A223" s="1012" t="s">
        <v>2051</v>
      </c>
      <c r="B223" s="1012" t="s">
        <v>2523</v>
      </c>
      <c r="C223" s="1034"/>
      <c r="D223" s="1034"/>
      <c r="E223" s="1034"/>
      <c r="F223" s="1012" t="s">
        <v>4</v>
      </c>
      <c r="G223" s="1012" t="s">
        <v>2052</v>
      </c>
      <c r="H223" s="1013"/>
      <c r="I223" s="1014">
        <v>-1359</v>
      </c>
      <c r="J223" s="1014">
        <v>-269</v>
      </c>
      <c r="K223" s="1014">
        <v>-1628</v>
      </c>
      <c r="L223" s="153" t="str">
        <f t="shared" si="0"/>
        <v>4405@</v>
      </c>
      <c r="M223" s="154" t="str">
        <f t="shared" si="1"/>
        <v>M.O. MECANIQUE-VENTE INTERNE</v>
      </c>
      <c r="N223" s="155">
        <f>+IF(OR($Q223=Parametres!$G$2,$Q223=Parametres!$G$3),I223,C223)</f>
        <v>-1359</v>
      </c>
      <c r="O223" s="155">
        <f>+IF(OR($Q223=Parametres!$G$2,$Q223=Parametres!$G$3),J223,D223)</f>
        <v>-269</v>
      </c>
      <c r="P223" s="155">
        <f>+IF(OR($Q223=Parametres!$G$2,$Q223=Parametres!$G$3),K223,E223)</f>
        <v>-1628</v>
      </c>
      <c r="Q223" s="154" t="str">
        <f t="shared" si="15"/>
        <v>10-Compte compteur</v>
      </c>
      <c r="R223" s="153" t="str">
        <f t="shared" si="15"/>
        <v>4405</v>
      </c>
      <c r="S223" s="154">
        <f t="shared" si="15"/>
        <v>0</v>
      </c>
      <c r="T223" s="156" t="str">
        <f>+VLOOKUP($L223,Data_Validation!$A:$D,1,0)</f>
        <v>4405@</v>
      </c>
      <c r="U223" s="156" t="str">
        <f>+VLOOKUP($L223,Data_Validation!$A:$D,3,0)</f>
        <v>Service</v>
      </c>
      <c r="V223" s="156" t="str">
        <f>+VLOOKUP($L223,Data_Validation!$A:$D,4,0)</f>
        <v>M/O Interne</v>
      </c>
      <c r="W223" s="156" t="str">
        <f>+VLOOKUP($L223,Data_Validation!$A:$E,5,0)</f>
        <v>NB</v>
      </c>
      <c r="X223" s="156">
        <f>+VLOOKUP($L223,Data_Validation!$A:$F,6,0)</f>
        <v>0</v>
      </c>
    </row>
    <row r="224" spans="1:24" ht="15" hidden="1" customHeight="1">
      <c r="A224" s="1012" t="s">
        <v>2071</v>
      </c>
      <c r="B224" s="1012" t="s">
        <v>2072</v>
      </c>
      <c r="C224" s="1014">
        <v>-104297.85</v>
      </c>
      <c r="D224" s="1014">
        <v>-19768.259999999998</v>
      </c>
      <c r="E224" s="1014">
        <v>-124066.11</v>
      </c>
      <c r="F224" s="1012" t="s">
        <v>285</v>
      </c>
      <c r="G224" s="1012" t="s">
        <v>2073</v>
      </c>
      <c r="H224" s="1013"/>
      <c r="I224" s="1034"/>
      <c r="J224" s="1013"/>
      <c r="K224" s="1034"/>
      <c r="L224" s="153" t="str">
        <f t="shared" si="0"/>
        <v>4451</v>
      </c>
      <c r="M224" s="154" t="str">
        <f t="shared" si="1"/>
        <v>CARBURANT/HUILE/GRAISSE</v>
      </c>
      <c r="N224" s="155">
        <f>+IF(OR($Q224=Parametres!$G$2,$Q224=Parametres!$G$3),I224,C224)</f>
        <v>-104297.85</v>
      </c>
      <c r="O224" s="155">
        <f>+IF(OR($Q224=Parametres!$G$2,$Q224=Parametres!$G$3),J224,D224)</f>
        <v>-19768.259999999998</v>
      </c>
      <c r="P224" s="155">
        <f>+IF(OR($Q224=Parametres!$G$2,$Q224=Parametres!$G$3),K224,E224)</f>
        <v>-124066.11</v>
      </c>
      <c r="Q224" s="154" t="str">
        <f t="shared" si="15"/>
        <v>5-Ventes</v>
      </c>
      <c r="R224" s="153" t="str">
        <f t="shared" si="15"/>
        <v>4782</v>
      </c>
      <c r="S224" s="154">
        <f t="shared" si="15"/>
        <v>0</v>
      </c>
      <c r="T224" s="156" t="str">
        <f>+VLOOKUP($L224,Data_Validation!$A:$D,1,0)</f>
        <v>4451</v>
      </c>
      <c r="U224" s="156" t="str">
        <f>+VLOOKUP($L224,Data_Validation!$A:$D,3,0)</f>
        <v>Pièces</v>
      </c>
      <c r="V224" s="156" t="str">
        <f>+VLOOKUP($L224,Data_Validation!$A:$D,4,0)</f>
        <v>Huiles et Graisse</v>
      </c>
      <c r="W224" s="156" t="str">
        <f>+VLOOKUP($L224,Data_Validation!$A:$E,5,0)</f>
        <v>$</v>
      </c>
      <c r="X224" s="156" t="str">
        <f>+VLOOKUP($L224,Data_Validation!$A:$F,6,0)</f>
        <v>Oui</v>
      </c>
    </row>
    <row r="225" spans="1:24" ht="15.75" hidden="1" customHeight="1">
      <c r="A225" s="1012" t="s">
        <v>2071</v>
      </c>
      <c r="B225" s="1012" t="s">
        <v>2526</v>
      </c>
      <c r="C225" s="1034"/>
      <c r="D225" s="1034"/>
      <c r="E225" s="1034"/>
      <c r="F225" s="1012" t="s">
        <v>4</v>
      </c>
      <c r="G225" s="1012" t="s">
        <v>2073</v>
      </c>
      <c r="H225" s="1013"/>
      <c r="I225" s="1014">
        <v>-1787</v>
      </c>
      <c r="J225" s="1014">
        <v>-313</v>
      </c>
      <c r="K225" s="1014">
        <v>-2100</v>
      </c>
      <c r="L225" s="153" t="str">
        <f t="shared" si="0"/>
        <v>4451@</v>
      </c>
      <c r="M225" s="154" t="str">
        <f t="shared" si="1"/>
        <v>CARBURANT/HUILE/GRAISSE</v>
      </c>
      <c r="N225" s="155">
        <f>+IF(OR($Q225=Parametres!$G$2,$Q225=Parametres!$G$3),I225,C225)</f>
        <v>-1787</v>
      </c>
      <c r="O225" s="155">
        <f>+IF(OR($Q225=Parametres!$G$2,$Q225=Parametres!$G$3),J225,D225)</f>
        <v>-313</v>
      </c>
      <c r="P225" s="155">
        <f>+IF(OR($Q225=Parametres!$G$2,$Q225=Parametres!$G$3),K225,E225)</f>
        <v>-2100</v>
      </c>
      <c r="Q225" s="154" t="str">
        <f t="shared" si="15"/>
        <v>10-Compte compteur</v>
      </c>
      <c r="R225" s="153" t="str">
        <f t="shared" si="15"/>
        <v>4782</v>
      </c>
      <c r="S225" s="154">
        <f t="shared" si="15"/>
        <v>0</v>
      </c>
      <c r="T225" s="156" t="str">
        <f>+VLOOKUP($L225,Data_Validation!$A:$D,1,0)</f>
        <v>4451@</v>
      </c>
      <c r="U225" s="156" t="str">
        <f>+VLOOKUP($L225,Data_Validation!$A:$D,3,0)</f>
        <v>Pièces</v>
      </c>
      <c r="V225" s="156" t="str">
        <f>+VLOOKUP($L225,Data_Validation!$A:$D,4,0)</f>
        <v>Huiles et Graisse</v>
      </c>
      <c r="W225" s="156" t="str">
        <f>+VLOOKUP($L225,Data_Validation!$A:$E,5,0)</f>
        <v>NB</v>
      </c>
      <c r="X225" s="156">
        <f>+VLOOKUP($L225,Data_Validation!$A:$F,6,0)</f>
        <v>0</v>
      </c>
    </row>
    <row r="226" spans="1:24" ht="15" hidden="1" customHeight="1">
      <c r="A226" s="1012" t="s">
        <v>2144</v>
      </c>
      <c r="B226" s="1012" t="s">
        <v>2145</v>
      </c>
      <c r="C226" s="1014">
        <v>-30452.82</v>
      </c>
      <c r="D226" s="1014">
        <v>-3797.42</v>
      </c>
      <c r="E226" s="1014">
        <v>-34250.239999999998</v>
      </c>
      <c r="F226" s="1012" t="s">
        <v>285</v>
      </c>
      <c r="G226" s="1012" t="s">
        <v>2145</v>
      </c>
      <c r="H226" s="1013"/>
      <c r="I226" s="1034"/>
      <c r="J226" s="1013"/>
      <c r="K226" s="1034"/>
      <c r="L226" s="153" t="str">
        <f t="shared" si="0"/>
        <v>4491</v>
      </c>
      <c r="M226" s="154" t="str">
        <f t="shared" si="1"/>
        <v>REPARATION SOUS-LOC. - GENERAL</v>
      </c>
      <c r="N226" s="155">
        <f>+IF(OR($Q226=Parametres!$G$2,$Q226=Parametres!$G$3),I226,C226)</f>
        <v>-30452.82</v>
      </c>
      <c r="O226" s="155">
        <f>+IF(OR($Q226=Parametres!$G$2,$Q226=Parametres!$G$3),J226,D226)</f>
        <v>-3797.42</v>
      </c>
      <c r="P226" s="155">
        <f>+IF(OR($Q226=Parametres!$G$2,$Q226=Parametres!$G$3),K226,E226)</f>
        <v>-34250.239999999998</v>
      </c>
      <c r="Q226" s="154" t="str">
        <f t="shared" ref="Q226:S241" si="16">+F226</f>
        <v>5-Ventes</v>
      </c>
      <c r="R226" s="153" t="str">
        <f t="shared" si="16"/>
        <v>4491</v>
      </c>
      <c r="S226" s="154">
        <f t="shared" si="16"/>
        <v>0</v>
      </c>
      <c r="T226" s="156" t="str">
        <f>+VLOOKUP($L226,Data_Validation!$A:$D,1,0)</f>
        <v>4491</v>
      </c>
      <c r="U226" s="156" t="str">
        <f>+VLOOKUP($L226,Data_Validation!$A:$D,3,0)</f>
        <v>Service</v>
      </c>
      <c r="V226" s="156" t="str">
        <f>+VLOOKUP($L226,Data_Validation!$A:$D,4,0)</f>
        <v>Sous-traitement</v>
      </c>
      <c r="W226" s="156" t="str">
        <f>+VLOOKUP($L226,Data_Validation!$A:$E,5,0)</f>
        <v>$</v>
      </c>
      <c r="X226" s="156" t="str">
        <f>+VLOOKUP($L226,Data_Validation!$A:$F,6,0)</f>
        <v>Oui</v>
      </c>
    </row>
    <row r="227" spans="1:24" ht="15" hidden="1" customHeight="1">
      <c r="A227" s="1012" t="s">
        <v>2144</v>
      </c>
      <c r="B227" s="1012" t="s">
        <v>2527</v>
      </c>
      <c r="C227" s="1034"/>
      <c r="D227" s="1034"/>
      <c r="E227" s="1034"/>
      <c r="F227" s="1012" t="s">
        <v>4</v>
      </c>
      <c r="G227" s="1012" t="s">
        <v>2145</v>
      </c>
      <c r="H227" s="1013"/>
      <c r="I227" s="1014">
        <v>-212</v>
      </c>
      <c r="J227" s="1014">
        <v>-25</v>
      </c>
      <c r="K227" s="1014">
        <v>-237</v>
      </c>
      <c r="L227" s="153" t="str">
        <f t="shared" si="0"/>
        <v>4491@</v>
      </c>
      <c r="M227" s="154" t="str">
        <f t="shared" si="1"/>
        <v>REPARATION SOUS-LOC. - GENERAL</v>
      </c>
      <c r="N227" s="155">
        <f>+IF(OR($Q227=Parametres!$G$2,$Q227=Parametres!$G$3),I227,C227)</f>
        <v>-212</v>
      </c>
      <c r="O227" s="155">
        <f>+IF(OR($Q227=Parametres!$G$2,$Q227=Parametres!$G$3),J227,D227)</f>
        <v>-25</v>
      </c>
      <c r="P227" s="155">
        <f>+IF(OR($Q227=Parametres!$G$2,$Q227=Parametres!$G$3),K227,E227)</f>
        <v>-237</v>
      </c>
      <c r="Q227" s="154" t="str">
        <f t="shared" si="16"/>
        <v>10-Compte compteur</v>
      </c>
      <c r="R227" s="153" t="str">
        <f t="shared" si="16"/>
        <v>4491</v>
      </c>
      <c r="S227" s="154">
        <f t="shared" si="16"/>
        <v>0</v>
      </c>
      <c r="T227" s="156" t="str">
        <f>+VLOOKUP($L227,Data_Validation!$A:$D,1,0)</f>
        <v>4491@</v>
      </c>
      <c r="U227" s="156" t="str">
        <f>+VLOOKUP($L227,Data_Validation!$A:$D,3,0)</f>
        <v>Service</v>
      </c>
      <c r="V227" s="156" t="str">
        <f>+VLOOKUP($L227,Data_Validation!$A:$D,4,0)</f>
        <v>Sous-traitement</v>
      </c>
      <c r="W227" s="156" t="str">
        <f>+VLOOKUP($L227,Data_Validation!$A:$E,5,0)</f>
        <v>NB</v>
      </c>
      <c r="X227" s="156">
        <f>+VLOOKUP($L227,Data_Validation!$A:$F,6,0)</f>
        <v>0</v>
      </c>
    </row>
    <row r="228" spans="1:24" ht="15" hidden="1" customHeight="1">
      <c r="A228" s="1012" t="s">
        <v>2167</v>
      </c>
      <c r="B228" s="1012" t="s">
        <v>2168</v>
      </c>
      <c r="C228" s="1014">
        <v>-3294.56</v>
      </c>
      <c r="D228" s="1014">
        <v>-175</v>
      </c>
      <c r="E228" s="1014">
        <v>-3469.56</v>
      </c>
      <c r="F228" s="1012" t="s">
        <v>285</v>
      </c>
      <c r="G228" s="1012" t="s">
        <v>2168</v>
      </c>
      <c r="H228" s="1013"/>
      <c r="I228" s="1013"/>
      <c r="J228" s="1013"/>
      <c r="K228" s="1013"/>
      <c r="L228" s="153" t="str">
        <f t="shared" si="0"/>
        <v>4493</v>
      </c>
      <c r="M228" s="154" t="str">
        <f t="shared" si="1"/>
        <v>VTE - SOUS-TRAITANCE GARANTIE</v>
      </c>
      <c r="N228" s="155">
        <f>+IF(OR($Q228=Parametres!$G$2,$Q228=Parametres!$G$3),I228,C228)</f>
        <v>-3294.56</v>
      </c>
      <c r="O228" s="155">
        <f>+IF(OR($Q228=Parametres!$G$2,$Q228=Parametres!$G$3),J228,D228)</f>
        <v>-175</v>
      </c>
      <c r="P228" s="155">
        <f>+IF(OR($Q228=Parametres!$G$2,$Q228=Parametres!$G$3),K228,E228)</f>
        <v>-3469.56</v>
      </c>
      <c r="Q228" s="154" t="str">
        <f t="shared" si="16"/>
        <v>5-Ventes</v>
      </c>
      <c r="R228" s="153" t="str">
        <f t="shared" si="16"/>
        <v>4493</v>
      </c>
      <c r="S228" s="154">
        <f t="shared" si="16"/>
        <v>0</v>
      </c>
      <c r="T228" s="156" t="str">
        <f>+VLOOKUP($L228,Data_Validation!$A:$D,1,0)</f>
        <v>4493</v>
      </c>
      <c r="U228" s="156" t="str">
        <f>+VLOOKUP($L228,Data_Validation!$A:$D,3,0)</f>
        <v>Service</v>
      </c>
      <c r="V228" s="156" t="str">
        <f>+VLOOKUP($L228,Data_Validation!$A:$D,4,0)</f>
        <v>Sous-traitement</v>
      </c>
      <c r="W228" s="156" t="str">
        <f>+VLOOKUP($L228,Data_Validation!$A:$E,5,0)</f>
        <v>$</v>
      </c>
      <c r="X228" s="156" t="str">
        <f>+VLOOKUP($L228,Data_Validation!$A:$F,6,0)</f>
        <v>Oui</v>
      </c>
    </row>
    <row r="229" spans="1:24" ht="15.75" hidden="1" customHeight="1">
      <c r="A229" s="1012" t="s">
        <v>2528</v>
      </c>
      <c r="B229" s="1012" t="s">
        <v>2529</v>
      </c>
      <c r="C229" s="1034"/>
      <c r="D229" s="1034"/>
      <c r="E229" s="1034"/>
      <c r="F229" s="1012" t="s">
        <v>4</v>
      </c>
      <c r="G229" s="1012" t="s">
        <v>2168</v>
      </c>
      <c r="H229" s="1013"/>
      <c r="I229" s="1014">
        <v>-28</v>
      </c>
      <c r="J229" s="1014">
        <v>-2</v>
      </c>
      <c r="K229" s="1014">
        <v>-30</v>
      </c>
      <c r="L229" s="153" t="str">
        <f t="shared" si="0"/>
        <v>4493@</v>
      </c>
      <c r="M229" s="154" t="str">
        <f t="shared" si="1"/>
        <v># DE VTE - SOUS-TRAITANCE GARANTIE</v>
      </c>
      <c r="N229" s="155">
        <f>+IF(OR($Q229=Parametres!$G$2,$Q229=Parametres!$G$3),I229,C229)</f>
        <v>-28</v>
      </c>
      <c r="O229" s="155">
        <f>+IF(OR($Q229=Parametres!$G$2,$Q229=Parametres!$G$3),J229,D229)</f>
        <v>-2</v>
      </c>
      <c r="P229" s="155">
        <f>+IF(OR($Q229=Parametres!$G$2,$Q229=Parametres!$G$3),K229,E229)</f>
        <v>-30</v>
      </c>
      <c r="Q229" s="154" t="str">
        <f t="shared" si="16"/>
        <v>10-Compte compteur</v>
      </c>
      <c r="R229" s="153" t="str">
        <f t="shared" si="16"/>
        <v>4493</v>
      </c>
      <c r="S229" s="154">
        <f t="shared" si="16"/>
        <v>0</v>
      </c>
      <c r="T229" s="156" t="str">
        <f>+VLOOKUP($L229,Data_Validation!$A:$D,1,0)</f>
        <v>4493@</v>
      </c>
      <c r="U229" s="156" t="str">
        <f>+VLOOKUP($L229,Data_Validation!$A:$D,3,0)</f>
        <v>Service</v>
      </c>
      <c r="V229" s="156" t="str">
        <f>+VLOOKUP($L229,Data_Validation!$A:$D,4,0)</f>
        <v>Sous-traitement</v>
      </c>
      <c r="W229" s="156" t="str">
        <f>+VLOOKUP($L229,Data_Validation!$A:$E,5,0)</f>
        <v>NB</v>
      </c>
      <c r="X229" s="156">
        <f>+VLOOKUP($L229,Data_Validation!$A:$F,6,0)</f>
        <v>0</v>
      </c>
    </row>
    <row r="230" spans="1:24" ht="15" hidden="1" customHeight="1">
      <c r="A230" s="1012" t="s">
        <v>2086</v>
      </c>
      <c r="B230" s="1012" t="s">
        <v>2087</v>
      </c>
      <c r="C230" s="1014">
        <v>-188455.01</v>
      </c>
      <c r="D230" s="1014">
        <v>-30951.26</v>
      </c>
      <c r="E230" s="1014">
        <v>-219406.27</v>
      </c>
      <c r="F230" s="1012" t="s">
        <v>285</v>
      </c>
      <c r="G230" s="1012" t="s">
        <v>2087</v>
      </c>
      <c r="H230" s="1013"/>
      <c r="I230" s="1013"/>
      <c r="J230" s="1013"/>
      <c r="K230" s="1013"/>
      <c r="L230" s="153" t="str">
        <f t="shared" si="0"/>
        <v>4495</v>
      </c>
      <c r="M230" s="154" t="str">
        <f t="shared" si="1"/>
        <v>VTE - S-TRAITANCE MEC.INTERNE VW</v>
      </c>
      <c r="N230" s="155">
        <f>+IF(OR($Q230=Parametres!$G$2,$Q230=Parametres!$G$3),I230,C230)</f>
        <v>-188455.01</v>
      </c>
      <c r="O230" s="155">
        <f>+IF(OR($Q230=Parametres!$G$2,$Q230=Parametres!$G$3),J230,D230)</f>
        <v>-30951.26</v>
      </c>
      <c r="P230" s="155">
        <f>+IF(OR($Q230=Parametres!$G$2,$Q230=Parametres!$G$3),K230,E230)</f>
        <v>-219406.27</v>
      </c>
      <c r="Q230" s="154" t="str">
        <f t="shared" si="16"/>
        <v>5-Ventes</v>
      </c>
      <c r="R230" s="153" t="str">
        <f t="shared" si="16"/>
        <v>4495</v>
      </c>
      <c r="S230" s="154">
        <f t="shared" si="16"/>
        <v>0</v>
      </c>
      <c r="T230" s="156" t="str">
        <f>+VLOOKUP($L230,Data_Validation!$A:$D,1,0)</f>
        <v>4495</v>
      </c>
      <c r="U230" s="156" t="str">
        <f>+VLOOKUP($L230,Data_Validation!$A:$D,3,0)</f>
        <v>Service</v>
      </c>
      <c r="V230" s="156" t="str">
        <f>+VLOOKUP($L230,Data_Validation!$A:$D,4,0)</f>
        <v>Sous-traitement</v>
      </c>
      <c r="W230" s="156" t="str">
        <f>+VLOOKUP($L230,Data_Validation!$A:$E,5,0)</f>
        <v>$</v>
      </c>
      <c r="X230" s="156" t="str">
        <f>+VLOOKUP($L230,Data_Validation!$A:$F,6,0)</f>
        <v>Oui</v>
      </c>
    </row>
    <row r="231" spans="1:24" ht="15" hidden="1" customHeight="1">
      <c r="A231" s="1012" t="s">
        <v>2530</v>
      </c>
      <c r="B231" s="1012" t="s">
        <v>2531</v>
      </c>
      <c r="C231" s="1034"/>
      <c r="D231" s="1034"/>
      <c r="E231" s="1034"/>
      <c r="F231" s="1012" t="s">
        <v>4</v>
      </c>
      <c r="G231" s="1012" t="s">
        <v>2087</v>
      </c>
      <c r="H231" s="1013"/>
      <c r="I231" s="1014">
        <v>-1092</v>
      </c>
      <c r="J231" s="1014">
        <v>-157</v>
      </c>
      <c r="K231" s="1014">
        <v>-1249</v>
      </c>
      <c r="L231" s="153" t="str">
        <f t="shared" si="0"/>
        <v>4495@</v>
      </c>
      <c r="M231" s="154" t="str">
        <f t="shared" si="1"/>
        <v># DE VTE - S-TRAITANCE MEC.INTERNE VW</v>
      </c>
      <c r="N231" s="155">
        <f>+IF(OR($Q231=Parametres!$G$2,$Q231=Parametres!$G$3),I231,C231)</f>
        <v>-1092</v>
      </c>
      <c r="O231" s="155">
        <f>+IF(OR($Q231=Parametres!$G$2,$Q231=Parametres!$G$3),J231,D231)</f>
        <v>-157</v>
      </c>
      <c r="P231" s="155">
        <f>+IF(OR($Q231=Parametres!$G$2,$Q231=Parametres!$G$3),K231,E231)</f>
        <v>-1249</v>
      </c>
      <c r="Q231" s="154" t="str">
        <f t="shared" si="16"/>
        <v>10-Compte compteur</v>
      </c>
      <c r="R231" s="153" t="str">
        <f t="shared" si="16"/>
        <v>4495</v>
      </c>
      <c r="S231" s="154">
        <f t="shared" si="16"/>
        <v>0</v>
      </c>
      <c r="T231" s="156" t="str">
        <f>+VLOOKUP($L231,Data_Validation!$A:$D,1,0)</f>
        <v>4495@</v>
      </c>
      <c r="U231" s="156" t="str">
        <f>+VLOOKUP($L231,Data_Validation!$A:$D,3,0)</f>
        <v>Service</v>
      </c>
      <c r="V231" s="156" t="str">
        <f>+VLOOKUP($L231,Data_Validation!$A:$D,4,0)</f>
        <v>Sous-traitement</v>
      </c>
      <c r="W231" s="156" t="str">
        <f>+VLOOKUP($L231,Data_Validation!$A:$E,5,0)</f>
        <v>NB</v>
      </c>
      <c r="X231" s="156">
        <f>+VLOOKUP($L231,Data_Validation!$A:$F,6,0)</f>
        <v>0</v>
      </c>
    </row>
    <row r="232" spans="1:24" ht="15" hidden="1" customHeight="1">
      <c r="A232" s="1012" t="s">
        <v>2069</v>
      </c>
      <c r="B232" s="1012" t="s">
        <v>2070</v>
      </c>
      <c r="C232" s="1014">
        <v>-281330.19</v>
      </c>
      <c r="D232" s="1014">
        <v>-69160.13</v>
      </c>
      <c r="E232" s="1014">
        <v>-350490.32</v>
      </c>
      <c r="F232" s="1012" t="s">
        <v>285</v>
      </c>
      <c r="G232" s="1012" t="s">
        <v>2070</v>
      </c>
      <c r="H232" s="1013"/>
      <c r="I232" s="1013"/>
      <c r="J232" s="1013"/>
      <c r="K232" s="1034"/>
      <c r="L232" s="153" t="str">
        <f t="shared" si="0"/>
        <v>4591</v>
      </c>
      <c r="M232" s="154" t="str">
        <f t="shared" si="1"/>
        <v>VTE - S-TRAIT. CARR.</v>
      </c>
      <c r="N232" s="155">
        <f>+IF(OR($Q232=Parametres!$G$2,$Q232=Parametres!$G$3),I232,C232)</f>
        <v>-281330.19</v>
      </c>
      <c r="O232" s="155">
        <f>+IF(OR($Q232=Parametres!$G$2,$Q232=Parametres!$G$3),J232,D232)</f>
        <v>-69160.13</v>
      </c>
      <c r="P232" s="155">
        <f>+IF(OR($Q232=Parametres!$G$2,$Q232=Parametres!$G$3),K232,E232)</f>
        <v>-350490.32</v>
      </c>
      <c r="Q232" s="154" t="str">
        <f t="shared" si="16"/>
        <v>5-Ventes</v>
      </c>
      <c r="R232" s="153" t="str">
        <f t="shared" si="16"/>
        <v>4591</v>
      </c>
      <c r="S232" s="154">
        <f t="shared" si="16"/>
        <v>0</v>
      </c>
      <c r="T232" s="156" t="str">
        <f>+VLOOKUP($L232,Data_Validation!$A:$D,1,0)</f>
        <v>4591</v>
      </c>
      <c r="U232" s="156" t="str">
        <f>+VLOOKUP($L232,Data_Validation!$A:$D,3,0)</f>
        <v>Carrosserie</v>
      </c>
      <c r="V232" s="156" t="str">
        <f>+VLOOKUP($L232,Data_Validation!$A:$D,4,0)</f>
        <v>M/O Sous-traitement</v>
      </c>
      <c r="W232" s="156" t="str">
        <f>+VLOOKUP($L232,Data_Validation!$A:$E,5,0)</f>
        <v>$</v>
      </c>
      <c r="X232" s="156" t="str">
        <f>+VLOOKUP($L232,Data_Validation!$A:$F,6,0)</f>
        <v>Oui</v>
      </c>
    </row>
    <row r="233" spans="1:24" ht="15" hidden="1" customHeight="1">
      <c r="A233" s="1012" t="s">
        <v>2532</v>
      </c>
      <c r="B233" s="1012" t="s">
        <v>2533</v>
      </c>
      <c r="C233" s="1034"/>
      <c r="D233" s="1034"/>
      <c r="E233" s="1034"/>
      <c r="F233" s="1012" t="s">
        <v>4</v>
      </c>
      <c r="G233" s="1012" t="s">
        <v>2070</v>
      </c>
      <c r="H233" s="1013"/>
      <c r="I233" s="1014">
        <v>-232</v>
      </c>
      <c r="J233" s="1014">
        <v>-50</v>
      </c>
      <c r="K233" s="1014">
        <v>-282</v>
      </c>
      <c r="L233" s="153" t="str">
        <f t="shared" si="0"/>
        <v>4591@</v>
      </c>
      <c r="M233" s="154" t="str">
        <f t="shared" si="1"/>
        <v>REPARATION SOUS-LOC.-PEINT/DEB</v>
      </c>
      <c r="N233" s="155">
        <f>+IF(OR($Q233=Parametres!$G$2,$Q233=Parametres!$G$3),I233,C233)</f>
        <v>-232</v>
      </c>
      <c r="O233" s="155">
        <f>+IF(OR($Q233=Parametres!$G$2,$Q233=Parametres!$G$3),J233,D233)</f>
        <v>-50</v>
      </c>
      <c r="P233" s="155">
        <f>+IF(OR($Q233=Parametres!$G$2,$Q233=Parametres!$G$3),K233,E233)</f>
        <v>-282</v>
      </c>
      <c r="Q233" s="154" t="str">
        <f t="shared" si="16"/>
        <v>10-Compte compteur</v>
      </c>
      <c r="R233" s="153" t="str">
        <f t="shared" si="16"/>
        <v>4591</v>
      </c>
      <c r="S233" s="154">
        <f t="shared" si="16"/>
        <v>0</v>
      </c>
      <c r="T233" s="156" t="str">
        <f>+VLOOKUP($L233,Data_Validation!$A:$D,1,0)</f>
        <v>4591@</v>
      </c>
      <c r="U233" s="156" t="str">
        <f>+VLOOKUP($L233,Data_Validation!$A:$D,3,0)</f>
        <v>Carrosserie</v>
      </c>
      <c r="V233" s="156" t="str">
        <f>+VLOOKUP($L233,Data_Validation!$A:$D,4,0)</f>
        <v>M/O Sous-traitement</v>
      </c>
      <c r="W233" s="156" t="str">
        <f>+VLOOKUP($L233,Data_Validation!$A:$E,5,0)</f>
        <v>NB</v>
      </c>
      <c r="X233" s="156">
        <f>+VLOOKUP($L233,Data_Validation!$A:$F,6,0)</f>
        <v>0</v>
      </c>
    </row>
    <row r="234" spans="1:24" ht="15.75" hidden="1" customHeight="1">
      <c r="A234" s="1012" t="s">
        <v>2067</v>
      </c>
      <c r="B234" s="1012" t="s">
        <v>2068</v>
      </c>
      <c r="C234" s="1014">
        <v>-329884.34999999998</v>
      </c>
      <c r="D234" s="1014">
        <v>-61036.87</v>
      </c>
      <c r="E234" s="1014">
        <v>-390921.22</v>
      </c>
      <c r="F234" s="1012" t="s">
        <v>285</v>
      </c>
      <c r="G234" s="1012" t="s">
        <v>2068</v>
      </c>
      <c r="H234" s="1013"/>
      <c r="I234" s="1013"/>
      <c r="J234" s="1013"/>
      <c r="K234" s="1013"/>
      <c r="L234" s="153" t="str">
        <f t="shared" si="0"/>
        <v>4593</v>
      </c>
      <c r="M234" s="154" t="str">
        <f t="shared" si="1"/>
        <v>VTE - SOUS-TRAITANCE GARANTIE CARR.</v>
      </c>
      <c r="N234" s="155">
        <f>+IF(OR($Q234=Parametres!$G$2,$Q234=Parametres!$G$3),I234,C234)</f>
        <v>-329884.34999999998</v>
      </c>
      <c r="O234" s="155">
        <f>+IF(OR($Q234=Parametres!$G$2,$Q234=Parametres!$G$3),J234,D234)</f>
        <v>-61036.87</v>
      </c>
      <c r="P234" s="155">
        <f>+IF(OR($Q234=Parametres!$G$2,$Q234=Parametres!$G$3),K234,E234)</f>
        <v>-390921.22</v>
      </c>
      <c r="Q234" s="154" t="str">
        <f t="shared" si="16"/>
        <v>5-Ventes</v>
      </c>
      <c r="R234" s="153" t="str">
        <f t="shared" si="16"/>
        <v>4593</v>
      </c>
      <c r="S234" s="154">
        <f t="shared" si="16"/>
        <v>0</v>
      </c>
      <c r="T234" s="156" t="str">
        <f>+VLOOKUP($L234,Data_Validation!$A:$D,1,0)</f>
        <v>4593</v>
      </c>
      <c r="U234" s="156" t="str">
        <f>+VLOOKUP($L234,Data_Validation!$A:$D,3,0)</f>
        <v>Carrosserie</v>
      </c>
      <c r="V234" s="156" t="str">
        <f>+VLOOKUP($L234,Data_Validation!$A:$D,4,0)</f>
        <v>M/O Sous-traitement</v>
      </c>
      <c r="W234" s="156" t="str">
        <f>+VLOOKUP($L234,Data_Validation!$A:$E,5,0)</f>
        <v>$</v>
      </c>
      <c r="X234" s="156" t="str">
        <f>+VLOOKUP($L234,Data_Validation!$A:$F,6,0)</f>
        <v>Oui</v>
      </c>
    </row>
    <row r="235" spans="1:24" ht="15" hidden="1" customHeight="1">
      <c r="A235" s="1012" t="s">
        <v>2534</v>
      </c>
      <c r="B235" s="1012" t="s">
        <v>2535</v>
      </c>
      <c r="C235" s="1034"/>
      <c r="D235" s="1034"/>
      <c r="E235" s="1034"/>
      <c r="F235" s="1012" t="s">
        <v>4</v>
      </c>
      <c r="G235" s="1012" t="s">
        <v>2068</v>
      </c>
      <c r="H235" s="1013"/>
      <c r="I235" s="1014">
        <v>-177</v>
      </c>
      <c r="J235" s="1014">
        <v>-39</v>
      </c>
      <c r="K235" s="1014">
        <v>-216</v>
      </c>
      <c r="L235" s="153" t="str">
        <f t="shared" si="0"/>
        <v>4593@</v>
      </c>
      <c r="M235" s="154" t="str">
        <f t="shared" si="1"/>
        <v># DE VTE - S-TRAITANCE GAR.CARR.</v>
      </c>
      <c r="N235" s="155">
        <f>+IF(OR($Q235=Parametres!$G$2,$Q235=Parametres!$G$3),I235,C235)</f>
        <v>-177</v>
      </c>
      <c r="O235" s="155">
        <f>+IF(OR($Q235=Parametres!$G$2,$Q235=Parametres!$G$3),J235,D235)</f>
        <v>-39</v>
      </c>
      <c r="P235" s="155">
        <f>+IF(OR($Q235=Parametres!$G$2,$Q235=Parametres!$G$3),K235,E235)</f>
        <v>-216</v>
      </c>
      <c r="Q235" s="154" t="str">
        <f t="shared" si="16"/>
        <v>10-Compte compteur</v>
      </c>
      <c r="R235" s="153" t="str">
        <f t="shared" si="16"/>
        <v>4593</v>
      </c>
      <c r="S235" s="154">
        <f t="shared" si="16"/>
        <v>0</v>
      </c>
      <c r="T235" s="156" t="str">
        <f>+VLOOKUP($L235,Data_Validation!$A:$D,1,0)</f>
        <v>4593@</v>
      </c>
      <c r="U235" s="156" t="str">
        <f>+VLOOKUP($L235,Data_Validation!$A:$D,3,0)</f>
        <v>Carrosserie</v>
      </c>
      <c r="V235" s="156" t="str">
        <f>+VLOOKUP($L235,Data_Validation!$A:$D,4,0)</f>
        <v>M/O Sous-traitement</v>
      </c>
      <c r="W235" s="156" t="str">
        <f>+VLOOKUP($L235,Data_Validation!$A:$E,5,0)</f>
        <v>NB</v>
      </c>
      <c r="X235" s="156">
        <f>+VLOOKUP($L235,Data_Validation!$A:$F,6,0)</f>
        <v>0</v>
      </c>
    </row>
    <row r="236" spans="1:24" ht="15" hidden="1" customHeight="1">
      <c r="A236" s="1012" t="s">
        <v>2100</v>
      </c>
      <c r="B236" s="1012" t="s">
        <v>2101</v>
      </c>
      <c r="C236" s="1014">
        <v>-53970.39</v>
      </c>
      <c r="D236" s="1014">
        <v>-9588.9</v>
      </c>
      <c r="E236" s="1014">
        <v>-63559.29</v>
      </c>
      <c r="F236" s="1012" t="s">
        <v>285</v>
      </c>
      <c r="G236" s="1012" t="s">
        <v>2101</v>
      </c>
      <c r="H236" s="1013"/>
      <c r="I236" s="1013"/>
      <c r="J236" s="1013"/>
      <c r="K236" s="1013"/>
      <c r="L236" s="153" t="str">
        <f t="shared" si="0"/>
        <v>4595</v>
      </c>
      <c r="M236" s="154" t="str">
        <f t="shared" si="1"/>
        <v>VTE - SOUS-TRAITANCE INTERNE CARR.</v>
      </c>
      <c r="N236" s="155">
        <f>+IF(OR($Q236=Parametres!$G$2,$Q236=Parametres!$G$3),I236,C236)</f>
        <v>-53970.39</v>
      </c>
      <c r="O236" s="155">
        <f>+IF(OR($Q236=Parametres!$G$2,$Q236=Parametres!$G$3),J236,D236)</f>
        <v>-9588.9</v>
      </c>
      <c r="P236" s="155">
        <f>+IF(OR($Q236=Parametres!$G$2,$Q236=Parametres!$G$3),K236,E236)</f>
        <v>-63559.29</v>
      </c>
      <c r="Q236" s="154" t="str">
        <f t="shared" si="16"/>
        <v>5-Ventes</v>
      </c>
      <c r="R236" s="153" t="str">
        <f t="shared" si="16"/>
        <v>4595</v>
      </c>
      <c r="S236" s="154">
        <f t="shared" si="16"/>
        <v>0</v>
      </c>
      <c r="T236" s="156" t="str">
        <f>+VLOOKUP($L236,Data_Validation!$A:$D,1,0)</f>
        <v>4595</v>
      </c>
      <c r="U236" s="156" t="str">
        <f>+VLOOKUP($L236,Data_Validation!$A:$D,3,0)</f>
        <v>Carrosserie</v>
      </c>
      <c r="V236" s="156" t="str">
        <f>+VLOOKUP($L236,Data_Validation!$A:$D,4,0)</f>
        <v>M/O Sous-traitement</v>
      </c>
      <c r="W236" s="156" t="str">
        <f>+VLOOKUP($L236,Data_Validation!$A:$E,5,0)</f>
        <v>$</v>
      </c>
      <c r="X236" s="156" t="str">
        <f>+VLOOKUP($L236,Data_Validation!$A:$F,6,0)</f>
        <v>Oui</v>
      </c>
    </row>
    <row r="237" spans="1:24" ht="15" hidden="1" customHeight="1">
      <c r="A237" s="1012" t="s">
        <v>2536</v>
      </c>
      <c r="B237" s="1012" t="s">
        <v>2537</v>
      </c>
      <c r="C237" s="1034"/>
      <c r="D237" s="1034"/>
      <c r="E237" s="1034"/>
      <c r="F237" s="1012" t="s">
        <v>4</v>
      </c>
      <c r="G237" s="1012" t="s">
        <v>2101</v>
      </c>
      <c r="H237" s="1013"/>
      <c r="I237" s="1014">
        <v>-103</v>
      </c>
      <c r="J237" s="1014">
        <v>-20</v>
      </c>
      <c r="K237" s="1014">
        <v>-123</v>
      </c>
      <c r="L237" s="153" t="str">
        <f t="shared" si="0"/>
        <v>4595@</v>
      </c>
      <c r="M237" s="154" t="str">
        <f t="shared" si="1"/>
        <v># DE VTE - S-TRAIT.INTERNE CARR.</v>
      </c>
      <c r="N237" s="155">
        <f>+IF(OR($Q237=Parametres!$G$2,$Q237=Parametres!$G$3),I237,C237)</f>
        <v>-103</v>
      </c>
      <c r="O237" s="155">
        <f>+IF(OR($Q237=Parametres!$G$2,$Q237=Parametres!$G$3),J237,D237)</f>
        <v>-20</v>
      </c>
      <c r="P237" s="155">
        <f>+IF(OR($Q237=Parametres!$G$2,$Q237=Parametres!$G$3),K237,E237)</f>
        <v>-123</v>
      </c>
      <c r="Q237" s="154" t="str">
        <f t="shared" si="16"/>
        <v>10-Compte compteur</v>
      </c>
      <c r="R237" s="153" t="str">
        <f t="shared" si="16"/>
        <v>4595</v>
      </c>
      <c r="S237" s="154">
        <f t="shared" si="16"/>
        <v>0</v>
      </c>
      <c r="T237" s="156" t="str">
        <f>+VLOOKUP($L237,Data_Validation!$A:$D,1,0)</f>
        <v>4595@</v>
      </c>
      <c r="U237" s="156" t="str">
        <f>+VLOOKUP($L237,Data_Validation!$A:$D,3,0)</f>
        <v>Carrosserie</v>
      </c>
      <c r="V237" s="156" t="str">
        <f>+VLOOKUP($L237,Data_Validation!$A:$D,4,0)</f>
        <v>M/O Sous-traitement</v>
      </c>
      <c r="W237" s="156" t="str">
        <f>+VLOOKUP($L237,Data_Validation!$A:$E,5,0)</f>
        <v>NB</v>
      </c>
      <c r="X237" s="156">
        <f>+VLOOKUP($L237,Data_Validation!$A:$F,6,0)</f>
        <v>0</v>
      </c>
    </row>
    <row r="238" spans="1:24" ht="15.75" hidden="1" customHeight="1">
      <c r="A238" s="1012" t="s">
        <v>2023</v>
      </c>
      <c r="B238" s="1012" t="s">
        <v>2024</v>
      </c>
      <c r="C238" s="1014">
        <v>-353250.69</v>
      </c>
      <c r="D238" s="1014">
        <v>-55984.36</v>
      </c>
      <c r="E238" s="1014">
        <v>-409235.05</v>
      </c>
      <c r="F238" s="1012" t="s">
        <v>285</v>
      </c>
      <c r="G238" s="1012" t="s">
        <v>2024</v>
      </c>
      <c r="H238" s="1013"/>
      <c r="I238" s="1013"/>
      <c r="J238" s="1013"/>
      <c r="K238" s="1013"/>
      <c r="L238" s="153" t="str">
        <f t="shared" si="0"/>
        <v>4701</v>
      </c>
      <c r="M238" s="154" t="str">
        <f t="shared" si="1"/>
        <v>VTE - PIECE/ACC B.R. CLIENT VW</v>
      </c>
      <c r="N238" s="155">
        <f>+IF(OR($Q238=Parametres!$G$2,$Q238=Parametres!$G$3),I238,C238)</f>
        <v>-353250.69</v>
      </c>
      <c r="O238" s="155">
        <f>+IF(OR($Q238=Parametres!$G$2,$Q238=Parametres!$G$3),J238,D238)</f>
        <v>-55984.36</v>
      </c>
      <c r="P238" s="155">
        <f>+IF(OR($Q238=Parametres!$G$2,$Q238=Parametres!$G$3),K238,E238)</f>
        <v>-409235.05</v>
      </c>
      <c r="Q238" s="154" t="str">
        <f t="shared" si="16"/>
        <v>5-Ventes</v>
      </c>
      <c r="R238" s="153" t="str">
        <f t="shared" si="16"/>
        <v>4701</v>
      </c>
      <c r="S238" s="154">
        <f t="shared" si="16"/>
        <v>0</v>
      </c>
      <c r="T238" s="156" t="str">
        <f>+VLOOKUP($L238,Data_Validation!$A:$D,1,0)</f>
        <v>4701</v>
      </c>
      <c r="U238" s="156" t="str">
        <f>+VLOOKUP($L238,Data_Validation!$A:$D,3,0)</f>
        <v>Pièces</v>
      </c>
      <c r="V238" s="156" t="str">
        <f>+VLOOKUP($L238,Data_Validation!$A:$D,4,0)</f>
        <v>Pièces Ro Clients</v>
      </c>
      <c r="W238" s="156" t="str">
        <f>+VLOOKUP($L238,Data_Validation!$A:$E,5,0)</f>
        <v>$</v>
      </c>
      <c r="X238" s="156" t="str">
        <f>+VLOOKUP($L238,Data_Validation!$A:$F,6,0)</f>
        <v>Oui</v>
      </c>
    </row>
    <row r="239" spans="1:24" ht="15" hidden="1" customHeight="1">
      <c r="A239" s="1012" t="s">
        <v>2538</v>
      </c>
      <c r="B239" s="1012" t="s">
        <v>2539</v>
      </c>
      <c r="C239" s="1034"/>
      <c r="D239" s="1034"/>
      <c r="E239" s="1034"/>
      <c r="F239" s="1012" t="s">
        <v>4</v>
      </c>
      <c r="G239" s="1012" t="s">
        <v>2024</v>
      </c>
      <c r="H239" s="1013"/>
      <c r="I239" s="1014">
        <v>-2641</v>
      </c>
      <c r="J239" s="1014">
        <v>-370</v>
      </c>
      <c r="K239" s="1014">
        <v>-3011</v>
      </c>
      <c r="L239" s="153" t="str">
        <f t="shared" si="0"/>
        <v>4701@</v>
      </c>
      <c r="M239" s="154" t="str">
        <f t="shared" si="1"/>
        <v>PIECES-BON REPARATION- CLIENTS</v>
      </c>
      <c r="N239" s="155">
        <f>+IF(OR($Q239=Parametres!$G$2,$Q239=Parametres!$G$3),I239,C239)</f>
        <v>-2641</v>
      </c>
      <c r="O239" s="155">
        <f>+IF(OR($Q239=Parametres!$G$2,$Q239=Parametres!$G$3),J239,D239)</f>
        <v>-370</v>
      </c>
      <c r="P239" s="155">
        <f>+IF(OR($Q239=Parametres!$G$2,$Q239=Parametres!$G$3),K239,E239)</f>
        <v>-3011</v>
      </c>
      <c r="Q239" s="154" t="str">
        <f t="shared" si="16"/>
        <v>10-Compte compteur</v>
      </c>
      <c r="R239" s="153" t="str">
        <f t="shared" si="16"/>
        <v>4701</v>
      </c>
      <c r="S239" s="154">
        <f t="shared" si="16"/>
        <v>0</v>
      </c>
      <c r="T239" s="156" t="str">
        <f>+VLOOKUP($L239,Data_Validation!$A:$D,1,0)</f>
        <v>4701@</v>
      </c>
      <c r="U239" s="156" t="str">
        <f>+VLOOKUP($L239,Data_Validation!$A:$D,3,0)</f>
        <v>Pièces</v>
      </c>
      <c r="V239" s="156" t="str">
        <f>+VLOOKUP($L239,Data_Validation!$A:$D,4,0)</f>
        <v>Pièces Ro Clients</v>
      </c>
      <c r="W239" s="156" t="str">
        <f>+VLOOKUP($L239,Data_Validation!$A:$E,5,0)</f>
        <v>NB</v>
      </c>
      <c r="X239" s="156">
        <f>+VLOOKUP($L239,Data_Validation!$A:$F,6,0)</f>
        <v>0</v>
      </c>
    </row>
    <row r="240" spans="1:24" ht="15" hidden="1" customHeight="1">
      <c r="A240" s="1012" t="s">
        <v>2043</v>
      </c>
      <c r="B240" s="1012" t="s">
        <v>2044</v>
      </c>
      <c r="C240" s="1014">
        <v>-514740.87</v>
      </c>
      <c r="D240" s="1014">
        <v>-86754.48</v>
      </c>
      <c r="E240" s="1014">
        <v>-601495.35</v>
      </c>
      <c r="F240" s="1012" t="s">
        <v>285</v>
      </c>
      <c r="G240" s="1012" t="s">
        <v>2044</v>
      </c>
      <c r="H240" s="1013"/>
      <c r="I240" s="1034"/>
      <c r="J240" s="1013"/>
      <c r="K240" s="1034"/>
      <c r="L240" s="153" t="str">
        <f t="shared" si="0"/>
        <v>4703</v>
      </c>
      <c r="M240" s="154" t="str">
        <f t="shared" si="1"/>
        <v>VTE - PIECE/ACC B.R. GARANTIE VW</v>
      </c>
      <c r="N240" s="155">
        <f>+IF(OR($Q240=Parametres!$G$2,$Q240=Parametres!$G$3),I240,C240)</f>
        <v>-514740.87</v>
      </c>
      <c r="O240" s="155">
        <f>+IF(OR($Q240=Parametres!$G$2,$Q240=Parametres!$G$3),J240,D240)</f>
        <v>-86754.48</v>
      </c>
      <c r="P240" s="155">
        <f>+IF(OR($Q240=Parametres!$G$2,$Q240=Parametres!$G$3),K240,E240)</f>
        <v>-601495.35</v>
      </c>
      <c r="Q240" s="154" t="str">
        <f t="shared" si="16"/>
        <v>5-Ventes</v>
      </c>
      <c r="R240" s="153" t="str">
        <f t="shared" si="16"/>
        <v>4703</v>
      </c>
      <c r="S240" s="154">
        <f t="shared" si="16"/>
        <v>0</v>
      </c>
      <c r="T240" s="156" t="str">
        <f>+VLOOKUP($L240,Data_Validation!$A:$D,1,0)</f>
        <v>4703</v>
      </c>
      <c r="U240" s="156" t="str">
        <f>+VLOOKUP($L240,Data_Validation!$A:$D,3,0)</f>
        <v>Pièces</v>
      </c>
      <c r="V240" s="156" t="str">
        <f>+VLOOKUP($L240,Data_Validation!$A:$D,4,0)</f>
        <v>P/A Garantie</v>
      </c>
      <c r="W240" s="156" t="str">
        <f>+VLOOKUP($L240,Data_Validation!$A:$E,5,0)</f>
        <v>$</v>
      </c>
      <c r="X240" s="156" t="str">
        <f>+VLOOKUP($L240,Data_Validation!$A:$F,6,0)</f>
        <v>Oui</v>
      </c>
    </row>
    <row r="241" spans="1:24" ht="15" hidden="1" customHeight="1">
      <c r="A241" s="1012" t="s">
        <v>2540</v>
      </c>
      <c r="B241" s="1012" t="s">
        <v>2541</v>
      </c>
      <c r="C241" s="1014"/>
      <c r="D241" s="1014"/>
      <c r="E241" s="1014"/>
      <c r="F241" s="1012" t="s">
        <v>4</v>
      </c>
      <c r="G241" s="1012" t="s">
        <v>2044</v>
      </c>
      <c r="H241" s="948"/>
      <c r="I241" s="947">
        <v>-1506</v>
      </c>
      <c r="J241" s="947">
        <v>-286</v>
      </c>
      <c r="K241" s="947">
        <v>-1792</v>
      </c>
      <c r="L241" s="153" t="str">
        <f t="shared" si="0"/>
        <v>4703@</v>
      </c>
      <c r="M241" s="154" t="str">
        <f t="shared" si="1"/>
        <v>PIECES-BON REPARATION-GAR. MAN</v>
      </c>
      <c r="N241" s="155">
        <f>+IF(OR($Q241=Parametres!$G$2,$Q241=Parametres!$G$3),I241,C241)</f>
        <v>-1506</v>
      </c>
      <c r="O241" s="155">
        <f>+IF(OR($Q241=Parametres!$G$2,$Q241=Parametres!$G$3),J241,D241)</f>
        <v>-286</v>
      </c>
      <c r="P241" s="155">
        <f>+IF(OR($Q241=Parametres!$G$2,$Q241=Parametres!$G$3),K241,E241)</f>
        <v>-1792</v>
      </c>
      <c r="Q241" s="154" t="str">
        <f t="shared" si="16"/>
        <v>10-Compte compteur</v>
      </c>
      <c r="R241" s="153" t="str">
        <f t="shared" si="16"/>
        <v>4703</v>
      </c>
      <c r="S241" s="154">
        <f t="shared" si="16"/>
        <v>0</v>
      </c>
      <c r="T241" s="156" t="str">
        <f>+VLOOKUP($L241,Data_Validation!$A:$D,1,0)</f>
        <v>4703@</v>
      </c>
      <c r="U241" s="156" t="str">
        <f>+VLOOKUP($L241,Data_Validation!$A:$D,3,0)</f>
        <v>Pièces</v>
      </c>
      <c r="V241" s="156" t="str">
        <f>+VLOOKUP($L241,Data_Validation!$A:$D,4,0)</f>
        <v>P/A Garantie</v>
      </c>
      <c r="W241" s="156" t="str">
        <f>+VLOOKUP($L241,Data_Validation!$A:$E,5,0)</f>
        <v>NB</v>
      </c>
      <c r="X241" s="156">
        <f>+VLOOKUP($L241,Data_Validation!$A:$F,6,0)</f>
        <v>0</v>
      </c>
    </row>
    <row r="242" spans="1:24" ht="15" hidden="1" customHeight="1">
      <c r="A242" s="1012" t="s">
        <v>2047</v>
      </c>
      <c r="B242" s="1012" t="s">
        <v>2048</v>
      </c>
      <c r="C242" s="1014">
        <v>-246018.95</v>
      </c>
      <c r="D242" s="1014">
        <v>-59750.44</v>
      </c>
      <c r="E242" s="1014">
        <v>-305769.39</v>
      </c>
      <c r="F242" s="1012" t="s">
        <v>285</v>
      </c>
      <c r="G242" s="1012" t="s">
        <v>2048</v>
      </c>
      <c r="H242" s="948"/>
      <c r="I242" s="947"/>
      <c r="J242" s="947"/>
      <c r="K242" s="947"/>
      <c r="L242" s="153" t="str">
        <f t="shared" si="0"/>
        <v>4705</v>
      </c>
      <c r="M242" s="154" t="str">
        <f t="shared" si="1"/>
        <v>VTE - PIECE/ACC B.R. INTERNE VW</v>
      </c>
      <c r="N242" s="155">
        <f>+IF(OR($Q242=Parametres!$G$2,$Q242=Parametres!$G$3),I242,C242)</f>
        <v>-246018.95</v>
      </c>
      <c r="O242" s="155">
        <f>+IF(OR($Q242=Parametres!$G$2,$Q242=Parametres!$G$3),J242,D242)</f>
        <v>-59750.44</v>
      </c>
      <c r="P242" s="155">
        <f>+IF(OR($Q242=Parametres!$G$2,$Q242=Parametres!$G$3),K242,E242)</f>
        <v>-305769.39</v>
      </c>
      <c r="Q242" s="154" t="str">
        <f t="shared" ref="Q242:S257" si="17">+F242</f>
        <v>5-Ventes</v>
      </c>
      <c r="R242" s="153" t="str">
        <f t="shared" si="17"/>
        <v>4705</v>
      </c>
      <c r="S242" s="154">
        <f t="shared" si="17"/>
        <v>0</v>
      </c>
      <c r="T242" s="156" t="str">
        <f>+VLOOKUP($L242,Data_Validation!$A:$D,1,0)</f>
        <v>4705</v>
      </c>
      <c r="U242" s="156" t="str">
        <f>+VLOOKUP($L242,Data_Validation!$A:$D,3,0)</f>
        <v>Pièces</v>
      </c>
      <c r="V242" s="156" t="str">
        <f>+VLOOKUP($L242,Data_Validation!$A:$D,4,0)</f>
        <v>Ventes Internes</v>
      </c>
      <c r="W242" s="156" t="str">
        <f>+VLOOKUP($L242,Data_Validation!$A:$E,5,0)</f>
        <v>$</v>
      </c>
      <c r="X242" s="156" t="str">
        <f>+VLOOKUP($L242,Data_Validation!$A:$F,6,0)</f>
        <v>Oui</v>
      </c>
    </row>
    <row r="243" spans="1:24" ht="15.75" hidden="1" customHeight="1">
      <c r="A243" s="1012" t="s">
        <v>2542</v>
      </c>
      <c r="B243" s="1012" t="s">
        <v>2543</v>
      </c>
      <c r="C243" s="1014"/>
      <c r="D243" s="1014"/>
      <c r="E243" s="1014"/>
      <c r="F243" s="1012" t="s">
        <v>4</v>
      </c>
      <c r="G243" s="1012" t="s">
        <v>2048</v>
      </c>
      <c r="H243" s="948"/>
      <c r="I243" s="947">
        <v>-1558</v>
      </c>
      <c r="J243" s="947">
        <v>-268</v>
      </c>
      <c r="K243" s="947">
        <v>-1826</v>
      </c>
      <c r="L243" s="153" t="str">
        <f t="shared" si="0"/>
        <v>4705@</v>
      </c>
      <c r="M243" s="154" t="str">
        <f t="shared" si="1"/>
        <v>PIECES-BON REPARATION - INTERN</v>
      </c>
      <c r="N243" s="155">
        <f>+IF(OR($Q243=Parametres!$G$2,$Q243=Parametres!$G$3),I243,C243)</f>
        <v>-1558</v>
      </c>
      <c r="O243" s="155">
        <f>+IF(OR($Q243=Parametres!$G$2,$Q243=Parametres!$G$3),J243,D243)</f>
        <v>-268</v>
      </c>
      <c r="P243" s="155">
        <f>+IF(OR($Q243=Parametres!$G$2,$Q243=Parametres!$G$3),K243,E243)</f>
        <v>-1826</v>
      </c>
      <c r="Q243" s="154" t="str">
        <f t="shared" si="17"/>
        <v>10-Compte compteur</v>
      </c>
      <c r="R243" s="153" t="str">
        <f t="shared" si="17"/>
        <v>4705</v>
      </c>
      <c r="S243" s="154">
        <f t="shared" si="17"/>
        <v>0</v>
      </c>
      <c r="T243" s="156" t="str">
        <f>+VLOOKUP($L243,Data_Validation!$A:$D,1,0)</f>
        <v>4705@</v>
      </c>
      <c r="U243" s="156" t="str">
        <f>+VLOOKUP($L243,Data_Validation!$A:$D,3,0)</f>
        <v>Pièces</v>
      </c>
      <c r="V243" s="156" t="str">
        <f>+VLOOKUP($L243,Data_Validation!$A:$D,4,0)</f>
        <v>Ventes Internes</v>
      </c>
      <c r="W243" s="156" t="str">
        <f>+VLOOKUP($L243,Data_Validation!$A:$E,5,0)</f>
        <v>NB</v>
      </c>
      <c r="X243" s="156">
        <f>+VLOOKUP($L243,Data_Validation!$A:$F,6,0)</f>
        <v>0</v>
      </c>
    </row>
    <row r="244" spans="1:24" ht="15" hidden="1" customHeight="1">
      <c r="A244" s="1012" t="s">
        <v>2114</v>
      </c>
      <c r="B244" s="1012" t="s">
        <v>2115</v>
      </c>
      <c r="C244" s="1014">
        <v>-19703.669999999998</v>
      </c>
      <c r="D244" s="1014">
        <v>-2315.36</v>
      </c>
      <c r="E244" s="1014">
        <v>-22019.03</v>
      </c>
      <c r="F244" s="1012" t="s">
        <v>285</v>
      </c>
      <c r="G244" s="1012" t="s">
        <v>335</v>
      </c>
      <c r="H244" s="948"/>
      <c r="I244" s="947"/>
      <c r="J244" s="947"/>
      <c r="K244" s="947"/>
      <c r="L244" s="153" t="str">
        <f t="shared" si="0"/>
        <v>4711</v>
      </c>
      <c r="M244" s="154" t="str">
        <f t="shared" si="1"/>
        <v>VTE - AUTRE PIECE/ACC/CARR B.R. CLIENT</v>
      </c>
      <c r="N244" s="155">
        <f>+IF(OR($Q244=Parametres!$G$2,$Q244=Parametres!$G$3),I244,C244)</f>
        <v>-19703.669999999998</v>
      </c>
      <c r="O244" s="155">
        <f>+IF(OR($Q244=Parametres!$G$2,$Q244=Parametres!$G$3),J244,D244)</f>
        <v>-2315.36</v>
      </c>
      <c r="P244" s="155">
        <f>+IF(OR($Q244=Parametres!$G$2,$Q244=Parametres!$G$3),K244,E244)</f>
        <v>-22019.03</v>
      </c>
      <c r="Q244" s="154" t="str">
        <f t="shared" si="17"/>
        <v>5-Ventes</v>
      </c>
      <c r="R244" s="153" t="str">
        <f t="shared" si="17"/>
        <v>84711</v>
      </c>
      <c r="S244" s="154">
        <f t="shared" si="17"/>
        <v>0</v>
      </c>
      <c r="T244" s="156" t="str">
        <f>+VLOOKUP($L244,Data_Validation!$A:$D,1,0)</f>
        <v>4711</v>
      </c>
      <c r="U244" s="156" t="str">
        <f>+VLOOKUP($L244,Data_Validation!$A:$D,3,0)</f>
        <v>Pièces</v>
      </c>
      <c r="V244" s="156" t="str">
        <f>+VLOOKUP($L244,Data_Validation!$A:$D,4,0)</f>
        <v>Pièces Ro Clients</v>
      </c>
      <c r="W244" s="156" t="str">
        <f>+VLOOKUP($L244,Data_Validation!$A:$E,5,0)</f>
        <v>$</v>
      </c>
      <c r="X244" s="156" t="str">
        <f>+VLOOKUP($L244,Data_Validation!$A:$F,6,0)</f>
        <v>Oui</v>
      </c>
    </row>
    <row r="245" spans="1:24" ht="15" hidden="1" customHeight="1">
      <c r="A245" s="1012" t="s">
        <v>2544</v>
      </c>
      <c r="B245" s="1012" t="s">
        <v>2545</v>
      </c>
      <c r="C245" s="1014"/>
      <c r="D245" s="1014"/>
      <c r="E245" s="1014"/>
      <c r="F245" s="1012" t="s">
        <v>4</v>
      </c>
      <c r="G245" s="1012" t="s">
        <v>335</v>
      </c>
      <c r="H245" s="948"/>
      <c r="I245" s="947">
        <v>-346</v>
      </c>
      <c r="J245" s="947">
        <v>-48</v>
      </c>
      <c r="K245" s="947">
        <v>-394</v>
      </c>
      <c r="L245" s="153" t="str">
        <f t="shared" si="0"/>
        <v>4711@</v>
      </c>
      <c r="M245" s="154" t="str">
        <f t="shared" si="1"/>
        <v># DE VTE - P&amp;A B.T. CLIENT AUDI</v>
      </c>
      <c r="N245" s="155">
        <f>+IF(OR($Q245=Parametres!$G$2,$Q245=Parametres!$G$3),I245,C245)</f>
        <v>-346</v>
      </c>
      <c r="O245" s="155">
        <f>+IF(OR($Q245=Parametres!$G$2,$Q245=Parametres!$G$3),J245,D245)</f>
        <v>-48</v>
      </c>
      <c r="P245" s="155">
        <f>+IF(OR($Q245=Parametres!$G$2,$Q245=Parametres!$G$3),K245,E245)</f>
        <v>-394</v>
      </c>
      <c r="Q245" s="154" t="str">
        <f t="shared" si="17"/>
        <v>10-Compte compteur</v>
      </c>
      <c r="R245" s="153" t="str">
        <f t="shared" si="17"/>
        <v>84711</v>
      </c>
      <c r="S245" s="154">
        <f t="shared" si="17"/>
        <v>0</v>
      </c>
      <c r="T245" s="156" t="str">
        <f>+VLOOKUP($L245,Data_Validation!$A:$D,1,0)</f>
        <v>4711@</v>
      </c>
      <c r="U245" s="156" t="str">
        <f>+VLOOKUP($L245,Data_Validation!$A:$D,3,0)</f>
        <v>Pièces</v>
      </c>
      <c r="V245" s="156" t="str">
        <f>+VLOOKUP($L245,Data_Validation!$A:$D,4,0)</f>
        <v>Pièces Ro Clients</v>
      </c>
      <c r="W245" s="156" t="str">
        <f>+VLOOKUP($L245,Data_Validation!$A:$E,5,0)</f>
        <v>NB</v>
      </c>
      <c r="X245" s="156">
        <f>+VLOOKUP($L245,Data_Validation!$A:$F,6,0)</f>
        <v>0</v>
      </c>
    </row>
    <row r="246" spans="1:24" ht="15" hidden="1" customHeight="1">
      <c r="A246" s="1012" t="s">
        <v>2114</v>
      </c>
      <c r="B246" s="1012" t="s">
        <v>2445</v>
      </c>
      <c r="C246" s="1014">
        <v>-44036.94</v>
      </c>
      <c r="D246" s="1014">
        <v>-17764.02</v>
      </c>
      <c r="E246" s="1014">
        <v>-61800.959999999999</v>
      </c>
      <c r="F246" s="1012" t="s">
        <v>285</v>
      </c>
      <c r="G246" s="1012" t="s">
        <v>2445</v>
      </c>
      <c r="H246" s="948"/>
      <c r="I246" s="947"/>
      <c r="J246" s="947"/>
      <c r="K246" s="947"/>
      <c r="L246" s="153" t="str">
        <f t="shared" si="0"/>
        <v>4721</v>
      </c>
      <c r="M246" s="154" t="str">
        <f t="shared" si="1"/>
        <v>VTE - AUTRE PIECE/ACC/CARR B.R. CLIENT</v>
      </c>
      <c r="N246" s="155">
        <f>+IF(OR($Q246=Parametres!$G$2,$Q246=Parametres!$G$3),I246,C246)</f>
        <v>-44036.94</v>
      </c>
      <c r="O246" s="155">
        <f>+IF(OR($Q246=Parametres!$G$2,$Q246=Parametres!$G$3),J246,D246)</f>
        <v>-17764.02</v>
      </c>
      <c r="P246" s="155">
        <f>+IF(OR($Q246=Parametres!$G$2,$Q246=Parametres!$G$3),K246,E246)</f>
        <v>-61800.959999999999</v>
      </c>
      <c r="Q246" s="154" t="str">
        <f t="shared" si="17"/>
        <v>5-Ventes</v>
      </c>
      <c r="R246" s="153" t="str">
        <f t="shared" si="17"/>
        <v>4721</v>
      </c>
      <c r="S246" s="154">
        <f t="shared" si="17"/>
        <v>0</v>
      </c>
      <c r="T246" s="156" t="str">
        <f>+VLOOKUP($L246,Data_Validation!$A:$D,1,0)</f>
        <v>4721</v>
      </c>
      <c r="U246" s="156" t="str">
        <f>+VLOOKUP($L246,Data_Validation!$A:$D,3,0)</f>
        <v>Pièces</v>
      </c>
      <c r="V246" s="156" t="str">
        <f>+VLOOKUP($L246,Data_Validation!$A:$D,4,0)</f>
        <v>Pièces Ro Clients</v>
      </c>
      <c r="W246" s="156" t="str">
        <f>+VLOOKUP($L246,Data_Validation!$A:$E,5,0)</f>
        <v>$</v>
      </c>
      <c r="X246" s="156" t="str">
        <f>+VLOOKUP($L246,Data_Validation!$A:$F,6,0)</f>
        <v>Oui</v>
      </c>
    </row>
    <row r="247" spans="1:24" ht="15.75" hidden="1" customHeight="1">
      <c r="A247" s="1012" t="s">
        <v>2546</v>
      </c>
      <c r="B247" s="1012" t="s">
        <v>2547</v>
      </c>
      <c r="C247" s="1014"/>
      <c r="D247" s="1014"/>
      <c r="E247" s="1014"/>
      <c r="F247" s="1012" t="s">
        <v>4</v>
      </c>
      <c r="G247" s="1012" t="s">
        <v>2445</v>
      </c>
      <c r="H247" s="948"/>
      <c r="I247" s="947">
        <v>-94</v>
      </c>
      <c r="J247" s="947">
        <v>45</v>
      </c>
      <c r="K247" s="947">
        <v>-49</v>
      </c>
      <c r="L247" s="153" t="str">
        <f t="shared" si="0"/>
        <v>4721@</v>
      </c>
      <c r="M247" s="154" t="str">
        <f t="shared" si="1"/>
        <v>AUTRES PIECES&amp;ACCESSOIRE</v>
      </c>
      <c r="N247" s="155">
        <f>+IF(OR($Q247=Parametres!$G$2,$Q247=Parametres!$G$3),I247,C247)</f>
        <v>-94</v>
      </c>
      <c r="O247" s="155">
        <f>+IF(OR($Q247=Parametres!$G$2,$Q247=Parametres!$G$3),J247,D247)</f>
        <v>45</v>
      </c>
      <c r="P247" s="155">
        <f>+IF(OR($Q247=Parametres!$G$2,$Q247=Parametres!$G$3),K247,E247)</f>
        <v>-49</v>
      </c>
      <c r="Q247" s="154" t="str">
        <f t="shared" si="17"/>
        <v>10-Compte compteur</v>
      </c>
      <c r="R247" s="153" t="str">
        <f t="shared" si="17"/>
        <v>4721</v>
      </c>
      <c r="S247" s="154">
        <f t="shared" si="17"/>
        <v>0</v>
      </c>
      <c r="T247" s="156" t="str">
        <f>+VLOOKUP($L247,Data_Validation!$A:$D,1,0)</f>
        <v>4721@</v>
      </c>
      <c r="U247" s="156" t="str">
        <f>+VLOOKUP($L247,Data_Validation!$A:$D,3,0)</f>
        <v>Pièces</v>
      </c>
      <c r="V247" s="156" t="str">
        <f>+VLOOKUP($L247,Data_Validation!$A:$D,4,0)</f>
        <v>Pièces Ro Clients</v>
      </c>
      <c r="W247" s="156" t="str">
        <f>+VLOOKUP($L247,Data_Validation!$A:$E,5,0)</f>
        <v>NB</v>
      </c>
      <c r="X247" s="156">
        <f>+VLOOKUP($L247,Data_Validation!$A:$F,6,0)</f>
        <v>0</v>
      </c>
    </row>
    <row r="248" spans="1:24" ht="15" hidden="1" customHeight="1">
      <c r="A248" s="1012" t="s">
        <v>2107</v>
      </c>
      <c r="B248" s="1012" t="s">
        <v>2108</v>
      </c>
      <c r="C248" s="1014">
        <v>-115440.52</v>
      </c>
      <c r="D248" s="1014">
        <v>-34902.92</v>
      </c>
      <c r="E248" s="1014">
        <v>-150343.44</v>
      </c>
      <c r="F248" s="1012" t="s">
        <v>285</v>
      </c>
      <c r="G248" s="1012" t="s">
        <v>2108</v>
      </c>
      <c r="H248" s="948"/>
      <c r="I248" s="947"/>
      <c r="J248" s="947"/>
      <c r="K248" s="947"/>
      <c r="L248" s="153" t="str">
        <f t="shared" si="0"/>
        <v>4731</v>
      </c>
      <c r="M248" s="154" t="str">
        <f t="shared" si="1"/>
        <v>VTE - PIECES-BON REPAR.-PEINT/DEBOS</v>
      </c>
      <c r="N248" s="155">
        <f>+IF(OR($Q248=Parametres!$G$2,$Q248=Parametres!$G$3),I248,C248)</f>
        <v>-115440.52</v>
      </c>
      <c r="O248" s="155">
        <f>+IF(OR($Q248=Parametres!$G$2,$Q248=Parametres!$G$3),J248,D248)</f>
        <v>-34902.92</v>
      </c>
      <c r="P248" s="155">
        <f>+IF(OR($Q248=Parametres!$G$2,$Q248=Parametres!$G$3),K248,E248)</f>
        <v>-150343.44</v>
      </c>
      <c r="Q248" s="154" t="str">
        <f t="shared" si="17"/>
        <v>5-Ventes</v>
      </c>
      <c r="R248" s="153" t="str">
        <f t="shared" si="17"/>
        <v>4731</v>
      </c>
      <c r="S248" s="154">
        <f t="shared" si="17"/>
        <v>0</v>
      </c>
      <c r="T248" s="156" t="str">
        <f>+VLOOKUP($L248,Data_Validation!$A:$D,1,0)</f>
        <v>4731</v>
      </c>
      <c r="U248" s="156" t="str">
        <f>+VLOOKUP($L248,Data_Validation!$A:$D,3,0)</f>
        <v>Pièces</v>
      </c>
      <c r="V248" s="156" t="str">
        <f>+VLOOKUP($L248,Data_Validation!$A:$D,4,0)</f>
        <v>Pièces Ro Carrosserie</v>
      </c>
      <c r="W248" s="156" t="str">
        <f>+VLOOKUP($L248,Data_Validation!$A:$E,5,0)</f>
        <v>$</v>
      </c>
      <c r="X248" s="156" t="str">
        <f>+VLOOKUP($L248,Data_Validation!$A:$F,6,0)</f>
        <v>Oui</v>
      </c>
    </row>
    <row r="249" spans="1:24" ht="15" hidden="1" customHeight="1">
      <c r="A249" s="1012" t="s">
        <v>2548</v>
      </c>
      <c r="B249" s="1012" t="s">
        <v>2549</v>
      </c>
      <c r="C249" s="1014"/>
      <c r="D249" s="1014"/>
      <c r="E249" s="1014"/>
      <c r="F249" s="1012" t="s">
        <v>4</v>
      </c>
      <c r="G249" s="1012" t="s">
        <v>2108</v>
      </c>
      <c r="H249" s="948"/>
      <c r="I249" s="947">
        <v>-137</v>
      </c>
      <c r="J249" s="947">
        <v>-22</v>
      </c>
      <c r="K249" s="947">
        <v>-159</v>
      </c>
      <c r="L249" s="153" t="str">
        <f t="shared" si="0"/>
        <v>4731@</v>
      </c>
      <c r="M249" s="154" t="str">
        <f t="shared" si="1"/>
        <v>PIECES-BON REPAR. PEINT/DEBOS</v>
      </c>
      <c r="N249" s="155">
        <f>+IF(OR($Q249=Parametres!$G$2,$Q249=Parametres!$G$3),I249,C249)</f>
        <v>-137</v>
      </c>
      <c r="O249" s="155">
        <f>+IF(OR($Q249=Parametres!$G$2,$Q249=Parametres!$G$3),J249,D249)</f>
        <v>-22</v>
      </c>
      <c r="P249" s="155">
        <f>+IF(OR($Q249=Parametres!$G$2,$Q249=Parametres!$G$3),K249,E249)</f>
        <v>-159</v>
      </c>
      <c r="Q249" s="154" t="str">
        <f t="shared" si="17"/>
        <v>10-Compte compteur</v>
      </c>
      <c r="R249" s="153" t="str">
        <f t="shared" si="17"/>
        <v>4731</v>
      </c>
      <c r="S249" s="154">
        <f t="shared" si="17"/>
        <v>0</v>
      </c>
      <c r="T249" s="156" t="str">
        <f>+VLOOKUP($L249,Data_Validation!$A:$D,1,0)</f>
        <v>4731@</v>
      </c>
      <c r="U249" s="156" t="str">
        <f>+VLOOKUP($L249,Data_Validation!$A:$D,3,0)</f>
        <v>Pièces</v>
      </c>
      <c r="V249" s="156" t="str">
        <f>+VLOOKUP($L249,Data_Validation!$A:$D,4,0)</f>
        <v>Pièces Ro Carrosserie</v>
      </c>
      <c r="W249" s="156" t="str">
        <f>+VLOOKUP($L249,Data_Validation!$A:$E,5,0)</f>
        <v>NB</v>
      </c>
      <c r="X249" s="156">
        <f>+VLOOKUP($L249,Data_Validation!$A:$F,6,0)</f>
        <v>0</v>
      </c>
    </row>
    <row r="250" spans="1:24" ht="15" hidden="1" customHeight="1">
      <c r="A250" s="1012" t="s">
        <v>2090</v>
      </c>
      <c r="B250" s="1012" t="s">
        <v>2091</v>
      </c>
      <c r="C250" s="1014">
        <v>-250735.21</v>
      </c>
      <c r="D250" s="1014">
        <v>-44646.28</v>
      </c>
      <c r="E250" s="1014">
        <v>-295381.49</v>
      </c>
      <c r="F250" s="1012" t="s">
        <v>285</v>
      </c>
      <c r="G250" s="1012" t="s">
        <v>2091</v>
      </c>
      <c r="H250" s="948"/>
      <c r="I250" s="947"/>
      <c r="J250" s="947"/>
      <c r="K250" s="947"/>
      <c r="L250" s="153" t="str">
        <f t="shared" si="0"/>
        <v>4733</v>
      </c>
      <c r="M250" s="154" t="str">
        <f t="shared" si="1"/>
        <v>VTE - P&amp;A B.T. GARANTIE CAR.</v>
      </c>
      <c r="N250" s="155">
        <f>+IF(OR($Q250=Parametres!$G$2,$Q250=Parametres!$G$3),I250,C250)</f>
        <v>-250735.21</v>
      </c>
      <c r="O250" s="155">
        <f>+IF(OR($Q250=Parametres!$G$2,$Q250=Parametres!$G$3),J250,D250)</f>
        <v>-44646.28</v>
      </c>
      <c r="P250" s="155">
        <f>+IF(OR($Q250=Parametres!$G$2,$Q250=Parametres!$G$3),K250,E250)</f>
        <v>-295381.49</v>
      </c>
      <c r="Q250" s="154" t="str">
        <f t="shared" si="17"/>
        <v>5-Ventes</v>
      </c>
      <c r="R250" s="153" t="str">
        <f t="shared" si="17"/>
        <v>4733</v>
      </c>
      <c r="S250" s="154">
        <f t="shared" si="17"/>
        <v>0</v>
      </c>
      <c r="T250" s="156" t="str">
        <f>+VLOOKUP($L250,Data_Validation!$A:$D,1,0)</f>
        <v>4733</v>
      </c>
      <c r="U250" s="156" t="str">
        <f>+VLOOKUP($L250,Data_Validation!$A:$D,3,0)</f>
        <v>Pièces</v>
      </c>
      <c r="V250" s="156" t="str">
        <f>+VLOOKUP($L250,Data_Validation!$A:$D,4,0)</f>
        <v>Pièces Ro Carrosserie</v>
      </c>
      <c r="W250" s="156" t="str">
        <f>+VLOOKUP($L250,Data_Validation!$A:$E,5,0)</f>
        <v>$</v>
      </c>
      <c r="X250" s="156" t="str">
        <f>+VLOOKUP($L250,Data_Validation!$A:$F,6,0)</f>
        <v>Oui</v>
      </c>
    </row>
    <row r="251" spans="1:24" ht="15" hidden="1" customHeight="1">
      <c r="A251" s="1012" t="s">
        <v>2550</v>
      </c>
      <c r="B251" s="1012" t="s">
        <v>2551</v>
      </c>
      <c r="C251" s="1014"/>
      <c r="D251" s="1014"/>
      <c r="E251" s="1014"/>
      <c r="F251" s="1012" t="s">
        <v>4</v>
      </c>
      <c r="G251" s="1012" t="s">
        <v>2091</v>
      </c>
      <c r="H251" s="948"/>
      <c r="I251" s="947">
        <v>-143</v>
      </c>
      <c r="J251" s="947">
        <v>-29</v>
      </c>
      <c r="K251" s="947">
        <v>-172</v>
      </c>
      <c r="L251" s="153" t="str">
        <f t="shared" si="0"/>
        <v>4733@</v>
      </c>
      <c r="M251" s="154" t="str">
        <f t="shared" si="1"/>
        <v># DE VTE - P&amp;A B.T. GARANTIE CARR.</v>
      </c>
      <c r="N251" s="155">
        <f>+IF(OR($Q251=Parametres!$G$2,$Q251=Parametres!$G$3),I251,C251)</f>
        <v>-143</v>
      </c>
      <c r="O251" s="155">
        <f>+IF(OR($Q251=Parametres!$G$2,$Q251=Parametres!$G$3),J251,D251)</f>
        <v>-29</v>
      </c>
      <c r="P251" s="155">
        <f>+IF(OR($Q251=Parametres!$G$2,$Q251=Parametres!$G$3),K251,E251)</f>
        <v>-172</v>
      </c>
      <c r="Q251" s="154" t="str">
        <f t="shared" si="17"/>
        <v>10-Compte compteur</v>
      </c>
      <c r="R251" s="153" t="str">
        <f t="shared" si="17"/>
        <v>4733</v>
      </c>
      <c r="S251" s="154">
        <f t="shared" si="17"/>
        <v>0</v>
      </c>
      <c r="T251" s="156" t="str">
        <f>+VLOOKUP($L251,Data_Validation!$A:$D,1,0)</f>
        <v>4733@</v>
      </c>
      <c r="U251" s="156" t="str">
        <f>+VLOOKUP($L251,Data_Validation!$A:$D,3,0)</f>
        <v>Pièces</v>
      </c>
      <c r="V251" s="156" t="str">
        <f>+VLOOKUP($L251,Data_Validation!$A:$D,4,0)</f>
        <v>Pièces Ro Carrosserie</v>
      </c>
      <c r="W251" s="156" t="str">
        <f>+VLOOKUP($L251,Data_Validation!$A:$E,5,0)</f>
        <v>NB</v>
      </c>
      <c r="X251" s="156">
        <f>+VLOOKUP($L251,Data_Validation!$A:$F,6,0)</f>
        <v>0</v>
      </c>
    </row>
    <row r="252" spans="1:24" ht="15.75" hidden="1" customHeight="1">
      <c r="A252" s="1012" t="s">
        <v>2165</v>
      </c>
      <c r="B252" s="1012" t="s">
        <v>2166</v>
      </c>
      <c r="C252" s="1014">
        <v>-7345.13</v>
      </c>
      <c r="D252" s="1014">
        <v>-1469.89</v>
      </c>
      <c r="E252" s="1014">
        <v>-8815.02</v>
      </c>
      <c r="F252" s="1012" t="s">
        <v>285</v>
      </c>
      <c r="G252" s="1012" t="s">
        <v>2166</v>
      </c>
      <c r="H252" s="948"/>
      <c r="I252" s="947"/>
      <c r="J252" s="947"/>
      <c r="K252" s="947"/>
      <c r="L252" s="153" t="str">
        <f t="shared" si="0"/>
        <v>4735</v>
      </c>
      <c r="M252" s="154" t="str">
        <f t="shared" si="1"/>
        <v>VTE - P&amp;A B.T. INTERNE CARROS.</v>
      </c>
      <c r="N252" s="155">
        <f>+IF(OR($Q252=Parametres!$G$2,$Q252=Parametres!$G$3),I252,C252)</f>
        <v>-7345.13</v>
      </c>
      <c r="O252" s="155">
        <f>+IF(OR($Q252=Parametres!$G$2,$Q252=Parametres!$G$3),J252,D252)</f>
        <v>-1469.89</v>
      </c>
      <c r="P252" s="155">
        <f>+IF(OR($Q252=Parametres!$G$2,$Q252=Parametres!$G$3),K252,E252)</f>
        <v>-8815.02</v>
      </c>
      <c r="Q252" s="154" t="str">
        <f t="shared" si="17"/>
        <v>5-Ventes</v>
      </c>
      <c r="R252" s="153" t="str">
        <f t="shared" si="17"/>
        <v>4735</v>
      </c>
      <c r="S252" s="154">
        <f t="shared" si="17"/>
        <v>0</v>
      </c>
      <c r="T252" s="156" t="str">
        <f>+VLOOKUP($L252,Data_Validation!$A:$D,1,0)</f>
        <v>4735</v>
      </c>
      <c r="U252" s="156" t="str">
        <f>+VLOOKUP($L252,Data_Validation!$A:$D,3,0)</f>
        <v>Pièces</v>
      </c>
      <c r="V252" s="156" t="str">
        <f>+VLOOKUP($L252,Data_Validation!$A:$D,4,0)</f>
        <v>Pièces Ro Carrosserie</v>
      </c>
      <c r="W252" s="156" t="str">
        <f>+VLOOKUP($L252,Data_Validation!$A:$E,5,0)</f>
        <v>$</v>
      </c>
      <c r="X252" s="156" t="str">
        <f>+VLOOKUP($L252,Data_Validation!$A:$F,6,0)</f>
        <v>Oui</v>
      </c>
    </row>
    <row r="253" spans="1:24" ht="15" hidden="1" customHeight="1">
      <c r="A253" s="1012" t="s">
        <v>2552</v>
      </c>
      <c r="B253" s="1012" t="s">
        <v>2553</v>
      </c>
      <c r="C253" s="1014"/>
      <c r="D253" s="1014"/>
      <c r="E253" s="1014"/>
      <c r="F253" s="1012" t="s">
        <v>4</v>
      </c>
      <c r="G253" s="1012" t="s">
        <v>2166</v>
      </c>
      <c r="H253" s="948"/>
      <c r="I253" s="947">
        <v>-24</v>
      </c>
      <c r="J253" s="947">
        <v>-2</v>
      </c>
      <c r="K253" s="947">
        <v>-26</v>
      </c>
      <c r="L253" s="153" t="str">
        <f t="shared" si="0"/>
        <v>4735@</v>
      </c>
      <c r="M253" s="154" t="str">
        <f t="shared" si="1"/>
        <v># DE VTE - P&amp;A B.T. INTERNE CARROS.</v>
      </c>
      <c r="N253" s="155">
        <f>+IF(OR($Q253=Parametres!$G$2,$Q253=Parametres!$G$3),I253,C253)</f>
        <v>-24</v>
      </c>
      <c r="O253" s="155">
        <f>+IF(OR($Q253=Parametres!$G$2,$Q253=Parametres!$G$3),J253,D253)</f>
        <v>-2</v>
      </c>
      <c r="P253" s="155">
        <f>+IF(OR($Q253=Parametres!$G$2,$Q253=Parametres!$G$3),K253,E253)</f>
        <v>-26</v>
      </c>
      <c r="Q253" s="154" t="str">
        <f t="shared" si="17"/>
        <v>10-Compte compteur</v>
      </c>
      <c r="R253" s="153" t="str">
        <f t="shared" si="17"/>
        <v>4735</v>
      </c>
      <c r="S253" s="154">
        <f t="shared" si="17"/>
        <v>0</v>
      </c>
      <c r="T253" s="156" t="str">
        <f>+VLOOKUP($L253,Data_Validation!$A:$D,1,0)</f>
        <v>4735@</v>
      </c>
      <c r="U253" s="156" t="str">
        <f>+VLOOKUP($L253,Data_Validation!$A:$D,3,0)</f>
        <v>Pièces</v>
      </c>
      <c r="V253" s="156" t="str">
        <f>+VLOOKUP($L253,Data_Validation!$A:$D,4,0)</f>
        <v>Pièces Ro Carrosserie</v>
      </c>
      <c r="W253" s="156" t="str">
        <f>+VLOOKUP($L253,Data_Validation!$A:$E,5,0)</f>
        <v>NB</v>
      </c>
      <c r="X253" s="156">
        <f>+VLOOKUP($L253,Data_Validation!$A:$F,6,0)</f>
        <v>0</v>
      </c>
    </row>
    <row r="254" spans="1:24" ht="15" hidden="1" customHeight="1">
      <c r="A254" s="1012" t="s">
        <v>2082</v>
      </c>
      <c r="B254" s="1012" t="s">
        <v>2083</v>
      </c>
      <c r="C254" s="1014">
        <v>-71263.960000000006</v>
      </c>
      <c r="D254" s="1014">
        <v>-15714.2</v>
      </c>
      <c r="E254" s="1014">
        <v>-86978.16</v>
      </c>
      <c r="F254" s="1012" t="s">
        <v>285</v>
      </c>
      <c r="G254" s="1012" t="s">
        <v>2083</v>
      </c>
      <c r="H254" s="948"/>
      <c r="I254" s="947"/>
      <c r="J254" s="947"/>
      <c r="K254" s="947"/>
      <c r="L254" s="153" t="str">
        <f t="shared" si="0"/>
        <v>4761</v>
      </c>
      <c r="M254" s="154" t="str">
        <f t="shared" si="1"/>
        <v>VTE - P&amp;A VW COMPTOIR - DETAIL</v>
      </c>
      <c r="N254" s="155">
        <f>+IF(OR($Q254=Parametres!$G$2,$Q254=Parametres!$G$3),I254,C254)</f>
        <v>-71263.960000000006</v>
      </c>
      <c r="O254" s="155">
        <f>+IF(OR($Q254=Parametres!$G$2,$Q254=Parametres!$G$3),J254,D254)</f>
        <v>-15714.2</v>
      </c>
      <c r="P254" s="155">
        <f>+IF(OR($Q254=Parametres!$G$2,$Q254=Parametres!$G$3),K254,E254)</f>
        <v>-86978.16</v>
      </c>
      <c r="Q254" s="154" t="str">
        <f t="shared" si="17"/>
        <v>5-Ventes</v>
      </c>
      <c r="R254" s="153" t="str">
        <f t="shared" si="17"/>
        <v>4761</v>
      </c>
      <c r="S254" s="154">
        <f t="shared" si="17"/>
        <v>0</v>
      </c>
      <c r="T254" s="156" t="str">
        <f>+VLOOKUP($L254,Data_Validation!$A:$D,1,0)</f>
        <v>4761</v>
      </c>
      <c r="U254" s="156" t="str">
        <f>+VLOOKUP($L254,Data_Validation!$A:$D,3,0)</f>
        <v>Pièces</v>
      </c>
      <c r="V254" s="156" t="str">
        <f>+VLOOKUP($L254,Data_Validation!$A:$D,4,0)</f>
        <v>Ventes Détails</v>
      </c>
      <c r="W254" s="156" t="str">
        <f>+VLOOKUP($L254,Data_Validation!$A:$E,5,0)</f>
        <v>$</v>
      </c>
      <c r="X254" s="156" t="str">
        <f>+VLOOKUP($L254,Data_Validation!$A:$F,6,0)</f>
        <v>Oui</v>
      </c>
    </row>
    <row r="255" spans="1:24" ht="15" hidden="1" customHeight="1">
      <c r="A255" s="1012" t="s">
        <v>2554</v>
      </c>
      <c r="B255" s="1012" t="s">
        <v>2555</v>
      </c>
      <c r="C255" s="1014"/>
      <c r="D255" s="1014"/>
      <c r="E255" s="1014"/>
      <c r="F255" s="1012" t="s">
        <v>4</v>
      </c>
      <c r="G255" s="1012" t="s">
        <v>2083</v>
      </c>
      <c r="H255" s="948"/>
      <c r="I255" s="947">
        <v>-1101</v>
      </c>
      <c r="J255" s="947">
        <v>-180</v>
      </c>
      <c r="K255" s="947">
        <v>-1281</v>
      </c>
      <c r="L255" s="153" t="str">
        <f t="shared" si="0"/>
        <v>4761@</v>
      </c>
      <c r="M255" s="154" t="str">
        <f t="shared" si="1"/>
        <v>PIECES-COMPTOIR-DETAIL</v>
      </c>
      <c r="N255" s="155">
        <f>+IF(OR($Q255=Parametres!$G$2,$Q255=Parametres!$G$3),I255,C255)</f>
        <v>-1101</v>
      </c>
      <c r="O255" s="155">
        <f>+IF(OR($Q255=Parametres!$G$2,$Q255=Parametres!$G$3),J255,D255)</f>
        <v>-180</v>
      </c>
      <c r="P255" s="155">
        <f>+IF(OR($Q255=Parametres!$G$2,$Q255=Parametres!$G$3),K255,E255)</f>
        <v>-1281</v>
      </c>
      <c r="Q255" s="154" t="str">
        <f t="shared" si="17"/>
        <v>10-Compte compteur</v>
      </c>
      <c r="R255" s="153" t="str">
        <f t="shared" si="17"/>
        <v>4761</v>
      </c>
      <c r="S255" s="154">
        <f t="shared" si="17"/>
        <v>0</v>
      </c>
      <c r="T255" s="156" t="str">
        <f>+VLOOKUP($L255,Data_Validation!$A:$D,1,0)</f>
        <v>4761@</v>
      </c>
      <c r="U255" s="156" t="str">
        <f>+VLOOKUP($L255,Data_Validation!$A:$D,3,0)</f>
        <v>Pièces</v>
      </c>
      <c r="V255" s="156" t="str">
        <f>+VLOOKUP($L255,Data_Validation!$A:$D,4,0)</f>
        <v>Ventes Détails</v>
      </c>
      <c r="W255" s="156" t="str">
        <f>+VLOOKUP($L255,Data_Validation!$A:$E,5,0)</f>
        <v>NB</v>
      </c>
      <c r="X255" s="156">
        <f>+VLOOKUP($L255,Data_Validation!$A:$F,6,0)</f>
        <v>0</v>
      </c>
    </row>
    <row r="256" spans="1:24" ht="15.75" hidden="1" customHeight="1">
      <c r="A256" s="1012" t="s">
        <v>2045</v>
      </c>
      <c r="B256" s="1012" t="s">
        <v>2046</v>
      </c>
      <c r="C256" s="1014">
        <v>-294701.24</v>
      </c>
      <c r="D256" s="1014">
        <v>-51384.69</v>
      </c>
      <c r="E256" s="1014">
        <v>-346085.93</v>
      </c>
      <c r="F256" s="1012" t="s">
        <v>285</v>
      </c>
      <c r="G256" s="1012" t="s">
        <v>2046</v>
      </c>
      <c r="H256" s="948"/>
      <c r="I256" s="947"/>
      <c r="J256" s="947"/>
      <c r="K256" s="947"/>
      <c r="L256" s="153" t="str">
        <f t="shared" si="0"/>
        <v>4763</v>
      </c>
      <c r="M256" s="154" t="str">
        <f t="shared" si="1"/>
        <v>VTE - P&amp;A VW COMPTOIR GROS - ECHANGE</v>
      </c>
      <c r="N256" s="155">
        <f>+IF(OR($Q256=Parametres!$G$2,$Q256=Parametres!$G$3),I256,C256)</f>
        <v>-294701.24</v>
      </c>
      <c r="O256" s="155">
        <f>+IF(OR($Q256=Parametres!$G$2,$Q256=Parametres!$G$3),J256,D256)</f>
        <v>-51384.69</v>
      </c>
      <c r="P256" s="155">
        <f>+IF(OR($Q256=Parametres!$G$2,$Q256=Parametres!$G$3),K256,E256)</f>
        <v>-346085.93</v>
      </c>
      <c r="Q256" s="154" t="str">
        <f t="shared" si="17"/>
        <v>5-Ventes</v>
      </c>
      <c r="R256" s="153" t="str">
        <f t="shared" si="17"/>
        <v>4763</v>
      </c>
      <c r="S256" s="154">
        <f t="shared" si="17"/>
        <v>0</v>
      </c>
      <c r="T256" s="156" t="str">
        <f>+VLOOKUP($L256,Data_Validation!$A:$D,1,0)</f>
        <v>4763</v>
      </c>
      <c r="U256" s="156" t="str">
        <f>+VLOOKUP($L256,Data_Validation!$A:$D,3,0)</f>
        <v>Pièces</v>
      </c>
      <c r="V256" s="156" t="str">
        <f>+VLOOKUP($L256,Data_Validation!$A:$D,4,0)</f>
        <v>Ventes de Gros</v>
      </c>
      <c r="W256" s="156" t="str">
        <f>+VLOOKUP($L256,Data_Validation!$A:$E,5,0)</f>
        <v>$</v>
      </c>
      <c r="X256" s="156" t="str">
        <f>+VLOOKUP($L256,Data_Validation!$A:$F,6,0)</f>
        <v>Oui</v>
      </c>
    </row>
    <row r="257" spans="1:24" ht="15" hidden="1" customHeight="1">
      <c r="A257" s="1012" t="s">
        <v>2556</v>
      </c>
      <c r="B257" s="1012" t="s">
        <v>2557</v>
      </c>
      <c r="C257" s="1014"/>
      <c r="D257" s="1014"/>
      <c r="E257" s="1014"/>
      <c r="F257" s="1012" t="s">
        <v>4</v>
      </c>
      <c r="G257" s="1012" t="s">
        <v>2046</v>
      </c>
      <c r="H257" s="948"/>
      <c r="I257" s="947">
        <v>-1276</v>
      </c>
      <c r="J257" s="947">
        <v>-199</v>
      </c>
      <c r="K257" s="947">
        <v>-1475</v>
      </c>
      <c r="L257" s="153" t="str">
        <f t="shared" ref="L257:L511" si="18">+B257</f>
        <v>4763@</v>
      </c>
      <c r="M257" s="154" t="str">
        <f t="shared" ref="M257:M511" si="19">+A257</f>
        <v>PIECES-COMPTOIR-COMM. GROS</v>
      </c>
      <c r="N257" s="155">
        <f>+IF(OR($Q257=Parametres!$G$2,$Q257=Parametres!$G$3),I257,C257)</f>
        <v>-1276</v>
      </c>
      <c r="O257" s="155">
        <f>+IF(OR($Q257=Parametres!$G$2,$Q257=Parametres!$G$3),J257,D257)</f>
        <v>-199</v>
      </c>
      <c r="P257" s="155">
        <f>+IF(OR($Q257=Parametres!$G$2,$Q257=Parametres!$G$3),K257,E257)</f>
        <v>-1475</v>
      </c>
      <c r="Q257" s="154" t="str">
        <f t="shared" si="17"/>
        <v>10-Compte compteur</v>
      </c>
      <c r="R257" s="153" t="str">
        <f t="shared" si="17"/>
        <v>4763</v>
      </c>
      <c r="S257" s="154">
        <f t="shared" si="17"/>
        <v>0</v>
      </c>
      <c r="T257" s="156" t="str">
        <f>+VLOOKUP($L257,Data_Validation!$A:$D,1,0)</f>
        <v>4763@</v>
      </c>
      <c r="U257" s="156" t="str">
        <f>+VLOOKUP($L257,Data_Validation!$A:$D,3,0)</f>
        <v>Pièces</v>
      </c>
      <c r="V257" s="156" t="str">
        <f>+VLOOKUP($L257,Data_Validation!$A:$D,4,0)</f>
        <v>Ventes de Gros</v>
      </c>
      <c r="W257" s="156" t="str">
        <f>+VLOOKUP($L257,Data_Validation!$A:$E,5,0)</f>
        <v>NB</v>
      </c>
      <c r="X257" s="156">
        <f>+VLOOKUP($L257,Data_Validation!$A:$F,6,0)</f>
        <v>0</v>
      </c>
    </row>
    <row r="258" spans="1:24" ht="15" hidden="1" customHeight="1">
      <c r="A258" s="1012" t="s">
        <v>2034</v>
      </c>
      <c r="B258" s="1012" t="s">
        <v>2035</v>
      </c>
      <c r="C258" s="1014">
        <v>-187328.78</v>
      </c>
      <c r="D258" s="1014">
        <v>-15623.08</v>
      </c>
      <c r="E258" s="1014">
        <v>-202951.86</v>
      </c>
      <c r="F258" s="1012" t="s">
        <v>285</v>
      </c>
      <c r="G258" s="1012" t="s">
        <v>2035</v>
      </c>
      <c r="H258" s="948"/>
      <c r="I258" s="1133"/>
      <c r="J258" s="948"/>
      <c r="K258" s="1133"/>
      <c r="L258" s="153" t="str">
        <f t="shared" si="18"/>
        <v>4781</v>
      </c>
      <c r="M258" s="154" t="str">
        <f t="shared" si="19"/>
        <v>VENTES PNEUS</v>
      </c>
      <c r="N258" s="155">
        <f>+IF(OR($Q258=Parametres!$G$2,$Q258=Parametres!$G$3),I258,C258)</f>
        <v>-187328.78</v>
      </c>
      <c r="O258" s="155">
        <f>+IF(OR($Q258=Parametres!$G$2,$Q258=Parametres!$G$3),J258,D258)</f>
        <v>-15623.08</v>
      </c>
      <c r="P258" s="155">
        <f>+IF(OR($Q258=Parametres!$G$2,$Q258=Parametres!$G$3),K258,E258)</f>
        <v>-202951.86</v>
      </c>
      <c r="Q258" s="154" t="str">
        <f t="shared" ref="Q258:S273" si="20">+F258</f>
        <v>5-Ventes</v>
      </c>
      <c r="R258" s="153" t="str">
        <f t="shared" si="20"/>
        <v>4781</v>
      </c>
      <c r="S258" s="154">
        <f t="shared" si="20"/>
        <v>0</v>
      </c>
      <c r="T258" s="156" t="str">
        <f>+VLOOKUP($L258,Data_Validation!$A:$D,1,0)</f>
        <v>4781</v>
      </c>
      <c r="U258" s="156" t="str">
        <f>+VLOOKUP($L258,Data_Validation!$A:$D,3,0)</f>
        <v>Pièces</v>
      </c>
      <c r="V258" s="156" t="str">
        <f>+VLOOKUP($L258,Data_Validation!$A:$D,4,0)</f>
        <v>Ventes Pneus</v>
      </c>
      <c r="W258" s="156" t="str">
        <f>+VLOOKUP($L258,Data_Validation!$A:$E,5,0)</f>
        <v>$</v>
      </c>
      <c r="X258" s="156" t="str">
        <f>+VLOOKUP($L258,Data_Validation!$A:$F,6,0)</f>
        <v>Oui</v>
      </c>
    </row>
    <row r="259" spans="1:24" ht="15" hidden="1" customHeight="1">
      <c r="A259" s="1012" t="s">
        <v>2034</v>
      </c>
      <c r="B259" s="1012" t="s">
        <v>2558</v>
      </c>
      <c r="C259" s="1014"/>
      <c r="D259" s="1014"/>
      <c r="E259" s="1014"/>
      <c r="F259" s="1012" t="s">
        <v>4</v>
      </c>
      <c r="G259" s="1012" t="s">
        <v>2035</v>
      </c>
      <c r="H259" s="948"/>
      <c r="I259" s="948">
        <v>-272</v>
      </c>
      <c r="J259" s="948">
        <v>-27</v>
      </c>
      <c r="K259" s="948">
        <v>-299</v>
      </c>
      <c r="L259" s="153" t="str">
        <f t="shared" si="18"/>
        <v>4781@</v>
      </c>
      <c r="M259" s="154" t="str">
        <f t="shared" si="19"/>
        <v>VENTES PNEUS</v>
      </c>
      <c r="N259" s="155">
        <f>+IF(OR($Q259=Parametres!$G$2,$Q259=Parametres!$G$3),I259,C259)</f>
        <v>-272</v>
      </c>
      <c r="O259" s="155">
        <f>+IF(OR($Q259=Parametres!$G$2,$Q259=Parametres!$G$3),J259,D259)</f>
        <v>-27</v>
      </c>
      <c r="P259" s="155">
        <f>+IF(OR($Q259=Parametres!$G$2,$Q259=Parametres!$G$3),K259,E259)</f>
        <v>-299</v>
      </c>
      <c r="Q259" s="154" t="str">
        <f t="shared" si="20"/>
        <v>10-Compte compteur</v>
      </c>
      <c r="R259" s="153" t="str">
        <f t="shared" si="20"/>
        <v>4781</v>
      </c>
      <c r="S259" s="154">
        <f t="shared" si="20"/>
        <v>0</v>
      </c>
      <c r="T259" s="156" t="str">
        <f>+VLOOKUP($L259,Data_Validation!$A:$D,1,0)</f>
        <v>4781@</v>
      </c>
      <c r="U259" s="156" t="str">
        <f>+VLOOKUP($L259,Data_Validation!$A:$D,3,0)</f>
        <v>Pièces</v>
      </c>
      <c r="V259" s="156" t="str">
        <f>+VLOOKUP($L259,Data_Validation!$A:$D,4,0)</f>
        <v>Ventes Pneus</v>
      </c>
      <c r="W259" s="156" t="str">
        <f>+VLOOKUP($L259,Data_Validation!$A:$E,5,0)</f>
        <v>NB</v>
      </c>
      <c r="X259" s="156">
        <f>+VLOOKUP($L259,Data_Validation!$A:$F,6,0)</f>
        <v>0</v>
      </c>
    </row>
    <row r="260" spans="1:24" ht="15" hidden="1" customHeight="1">
      <c r="A260" s="1012" t="s">
        <v>2120</v>
      </c>
      <c r="B260" s="1012" t="s">
        <v>2121</v>
      </c>
      <c r="C260" s="1014">
        <v>-1081.19</v>
      </c>
      <c r="D260" s="1014">
        <v>-781</v>
      </c>
      <c r="E260" s="1014">
        <v>-1862.19</v>
      </c>
      <c r="F260" s="1012" t="s">
        <v>285</v>
      </c>
      <c r="G260" s="1012" t="s">
        <v>2035</v>
      </c>
      <c r="H260" s="948"/>
      <c r="I260" s="948"/>
      <c r="J260" s="948"/>
      <c r="K260" s="948"/>
      <c r="L260" s="153" t="str">
        <f t="shared" si="18"/>
        <v>4785</v>
      </c>
      <c r="M260" s="154" t="str">
        <f t="shared" si="19"/>
        <v>VTE - VW PNEUS</v>
      </c>
      <c r="N260" s="155">
        <f>+IF(OR($Q260=Parametres!$G$2,$Q260=Parametres!$G$3),I260,C260)</f>
        <v>-1081.19</v>
      </c>
      <c r="O260" s="155">
        <f>+IF(OR($Q260=Parametres!$G$2,$Q260=Parametres!$G$3),J260,D260)</f>
        <v>-781</v>
      </c>
      <c r="P260" s="155">
        <f>+IF(OR($Q260=Parametres!$G$2,$Q260=Parametres!$G$3),K260,E260)</f>
        <v>-1862.19</v>
      </c>
      <c r="Q260" s="154" t="str">
        <f t="shared" si="20"/>
        <v>5-Ventes</v>
      </c>
      <c r="R260" s="153" t="str">
        <f t="shared" si="20"/>
        <v>4781</v>
      </c>
      <c r="S260" s="154">
        <f t="shared" si="20"/>
        <v>0</v>
      </c>
      <c r="T260" s="156" t="str">
        <f>+VLOOKUP($L260,Data_Validation!$A:$D,1,0)</f>
        <v>4785</v>
      </c>
      <c r="U260" s="156" t="str">
        <f>+VLOOKUP($L260,Data_Validation!$A:$D,3,0)</f>
        <v>Pièces</v>
      </c>
      <c r="V260" s="156" t="str">
        <f>+VLOOKUP($L260,Data_Validation!$A:$D,4,0)</f>
        <v>Ventes Pneus</v>
      </c>
      <c r="W260" s="156" t="str">
        <f>+VLOOKUP($L260,Data_Validation!$A:$E,5,0)</f>
        <v>$</v>
      </c>
      <c r="X260" s="156" t="str">
        <f>+VLOOKUP($L260,Data_Validation!$A:$F,6,0)</f>
        <v>Oui</v>
      </c>
    </row>
    <row r="261" spans="1:24" ht="15" hidden="1" customHeight="1">
      <c r="A261" s="1012" t="s">
        <v>2840</v>
      </c>
      <c r="B261" s="1012" t="s">
        <v>2841</v>
      </c>
      <c r="C261" s="1014">
        <v>537049.18000000005</v>
      </c>
      <c r="D261" s="1014">
        <v>110837.07</v>
      </c>
      <c r="E261" s="1014">
        <v>647886.25</v>
      </c>
      <c r="F261" s="1012" t="s">
        <v>424</v>
      </c>
      <c r="G261" s="1012" t="s">
        <v>2026</v>
      </c>
      <c r="H261" s="948"/>
      <c r="I261" s="948"/>
      <c r="J261" s="948"/>
      <c r="K261" s="948"/>
      <c r="L261" s="153" t="str">
        <f t="shared" si="18"/>
        <v>5100</v>
      </c>
      <c r="M261" s="154" t="str">
        <f t="shared" si="19"/>
        <v>C/V - RACHAT DE BAIL</v>
      </c>
      <c r="N261" s="155">
        <f>+IF(OR($Q261=Parametres!$G$2,$Q261=Parametres!$G$3),I261,C261)</f>
        <v>537049.18000000005</v>
      </c>
      <c r="O261" s="155">
        <f>+IF(OR($Q261=Parametres!$G$2,$Q261=Parametres!$G$3),J261,D261)</f>
        <v>110837.07</v>
      </c>
      <c r="P261" s="155">
        <f>+IF(OR($Q261=Parametres!$G$2,$Q261=Parametres!$G$3),K261,E261)</f>
        <v>647886.25</v>
      </c>
      <c r="Q261" s="154" t="str">
        <f t="shared" si="20"/>
        <v>6-Coût des ventes</v>
      </c>
      <c r="R261" s="153" t="str">
        <f t="shared" si="20"/>
        <v>4100</v>
      </c>
      <c r="S261" s="154">
        <f t="shared" si="20"/>
        <v>0</v>
      </c>
      <c r="T261" s="156" t="str">
        <f>+VLOOKUP($L261,Data_Validation!$A:$D,1,0)</f>
        <v>5100</v>
      </c>
      <c r="U261" s="156" t="str">
        <f>+VLOOKUP($L261,Data_Validation!$A:$D,3,0)</f>
        <v>Véhicules neufs</v>
      </c>
      <c r="V261" s="156" t="str">
        <f>+VLOOKUP($L261,Data_Validation!$A:$D,4,0)</f>
        <v>Rachat bail</v>
      </c>
      <c r="W261" s="156" t="str">
        <f>+VLOOKUP($L261,Data_Validation!$A:$E,5,0)</f>
        <v>$</v>
      </c>
      <c r="X261" s="156">
        <f>+VLOOKUP($L261,Data_Validation!$A:$F,6,0)</f>
        <v>0</v>
      </c>
    </row>
    <row r="262" spans="1:24" ht="15.75" hidden="1" customHeight="1">
      <c r="A262" s="1012" t="s">
        <v>2446</v>
      </c>
      <c r="B262" s="1012" t="s">
        <v>2447</v>
      </c>
      <c r="C262" s="1014">
        <v>493946.09</v>
      </c>
      <c r="D262" s="1014">
        <v>65552.039999999994</v>
      </c>
      <c r="E262" s="1014">
        <v>559498.13</v>
      </c>
      <c r="F262" s="1012" t="s">
        <v>424</v>
      </c>
      <c r="G262" s="1012" t="s">
        <v>2432</v>
      </c>
      <c r="H262" s="948"/>
      <c r="I262" s="948"/>
      <c r="J262" s="948"/>
      <c r="K262" s="948"/>
      <c r="L262" s="153" t="str">
        <f t="shared" si="18"/>
        <v>5101</v>
      </c>
      <c r="M262" s="154" t="str">
        <f t="shared" si="19"/>
        <v>C/V - NEW BEETLE</v>
      </c>
      <c r="N262" s="155">
        <f>+IF(OR($Q262=Parametres!$G$2,$Q262=Parametres!$G$3),I262,C262)</f>
        <v>493946.09</v>
      </c>
      <c r="O262" s="155">
        <f>+IF(OR($Q262=Parametres!$G$2,$Q262=Parametres!$G$3),J262,D262)</f>
        <v>65552.039999999994</v>
      </c>
      <c r="P262" s="155">
        <f>+IF(OR($Q262=Parametres!$G$2,$Q262=Parametres!$G$3),K262,E262)</f>
        <v>559498.13</v>
      </c>
      <c r="Q262" s="154" t="str">
        <f t="shared" si="20"/>
        <v>6-Coût des ventes</v>
      </c>
      <c r="R262" s="153" t="str">
        <f t="shared" si="20"/>
        <v>4101</v>
      </c>
      <c r="S262" s="154">
        <f t="shared" si="20"/>
        <v>0</v>
      </c>
      <c r="T262" s="156" t="str">
        <f>+VLOOKUP($L262,Data_Validation!$A:$D,1,0)</f>
        <v>5101</v>
      </c>
      <c r="U262" s="156" t="str">
        <f>+VLOOKUP($L262,Data_Validation!$A:$D,3,0)</f>
        <v>Véhicules neufs</v>
      </c>
      <c r="V262" s="156" t="str">
        <f>+VLOOKUP($L262,Data_Validation!$A:$D,4,0)</f>
        <v>Autos détail</v>
      </c>
      <c r="W262" s="156" t="str">
        <f>+VLOOKUP($L262,Data_Validation!$A:$E,5,0)</f>
        <v>$</v>
      </c>
      <c r="X262" s="156">
        <f>+VLOOKUP($L262,Data_Validation!$A:$F,6,0)</f>
        <v>0</v>
      </c>
    </row>
    <row r="263" spans="1:24" ht="15" hidden="1" customHeight="1">
      <c r="A263" s="1012" t="s">
        <v>2448</v>
      </c>
      <c r="B263" s="1012" t="s">
        <v>2449</v>
      </c>
      <c r="C263" s="1014">
        <v>104779.37</v>
      </c>
      <c r="D263" s="1014">
        <v>0</v>
      </c>
      <c r="E263" s="1014">
        <v>104779.37</v>
      </c>
      <c r="F263" s="1012" t="s">
        <v>424</v>
      </c>
      <c r="G263" s="1012" t="s">
        <v>2434</v>
      </c>
      <c r="H263" s="948"/>
      <c r="I263" s="948"/>
      <c r="J263" s="948"/>
      <c r="K263" s="948"/>
      <c r="L263" s="153" t="str">
        <f t="shared" si="18"/>
        <v>5105</v>
      </c>
      <c r="M263" s="154" t="str">
        <f t="shared" si="19"/>
        <v>C/V - ARTEON</v>
      </c>
      <c r="N263" s="155">
        <f>+IF(OR($Q263=Parametres!$G$2,$Q263=Parametres!$G$3),I263,C263)</f>
        <v>104779.37</v>
      </c>
      <c r="O263" s="155">
        <f>+IF(OR($Q263=Parametres!$G$2,$Q263=Parametres!$G$3),J263,D263)</f>
        <v>0</v>
      </c>
      <c r="P263" s="155">
        <f>+IF(OR($Q263=Parametres!$G$2,$Q263=Parametres!$G$3),K263,E263)</f>
        <v>104779.37</v>
      </c>
      <c r="Q263" s="154" t="str">
        <f t="shared" si="20"/>
        <v>6-Coût des ventes</v>
      </c>
      <c r="R263" s="153" t="str">
        <f t="shared" si="20"/>
        <v>4105</v>
      </c>
      <c r="S263" s="154">
        <f t="shared" si="20"/>
        <v>0</v>
      </c>
      <c r="T263" s="156" t="str">
        <f>+VLOOKUP($L263,Data_Validation!$A:$D,1,0)</f>
        <v>5105</v>
      </c>
      <c r="U263" s="156" t="str">
        <f>+VLOOKUP($L263,Data_Validation!$A:$D,3,0)</f>
        <v>Véhicules neufs</v>
      </c>
      <c r="V263" s="156" t="str">
        <f>+VLOOKUP($L263,Data_Validation!$A:$D,4,0)</f>
        <v>Autos détail</v>
      </c>
      <c r="W263" s="156" t="str">
        <f>+VLOOKUP($L263,Data_Validation!$A:$E,5,0)</f>
        <v>$</v>
      </c>
      <c r="X263" s="156">
        <f>+VLOOKUP($L263,Data_Validation!$A:$F,6,0)</f>
        <v>0</v>
      </c>
    </row>
    <row r="264" spans="1:24" ht="15" hidden="1" customHeight="1">
      <c r="A264" s="1012" t="s">
        <v>2842</v>
      </c>
      <c r="B264" s="1012" t="s">
        <v>2843</v>
      </c>
      <c r="C264" s="1014">
        <v>1348128.39</v>
      </c>
      <c r="D264" s="1014">
        <v>219841.69</v>
      </c>
      <c r="E264" s="1014">
        <v>1567970.08</v>
      </c>
      <c r="F264" s="1012" t="s">
        <v>424</v>
      </c>
      <c r="G264" s="1012" t="s">
        <v>2019</v>
      </c>
      <c r="H264" s="948"/>
      <c r="I264" s="948"/>
      <c r="J264" s="948"/>
      <c r="K264" s="948"/>
      <c r="L264" s="153" t="str">
        <f t="shared" si="18"/>
        <v>5107</v>
      </c>
      <c r="M264" s="154" t="str">
        <f t="shared" si="19"/>
        <v>C/V - GOLF</v>
      </c>
      <c r="N264" s="155">
        <f>+IF(OR($Q264=Parametres!$G$2,$Q264=Parametres!$G$3),I264,C264)</f>
        <v>1348128.39</v>
      </c>
      <c r="O264" s="155">
        <f>+IF(OR($Q264=Parametres!$G$2,$Q264=Parametres!$G$3),J264,D264)</f>
        <v>219841.69</v>
      </c>
      <c r="P264" s="155">
        <f>+IF(OR($Q264=Parametres!$G$2,$Q264=Parametres!$G$3),K264,E264)</f>
        <v>1567970.08</v>
      </c>
      <c r="Q264" s="154" t="str">
        <f t="shared" si="20"/>
        <v>6-Coût des ventes</v>
      </c>
      <c r="R264" s="153" t="str">
        <f t="shared" si="20"/>
        <v>4107</v>
      </c>
      <c r="S264" s="154">
        <f t="shared" si="20"/>
        <v>0</v>
      </c>
      <c r="T264" s="156" t="str">
        <f>+VLOOKUP($L264,Data_Validation!$A:$D,1,0)</f>
        <v>5107</v>
      </c>
      <c r="U264" s="156" t="str">
        <f>+VLOOKUP($L264,Data_Validation!$A:$D,3,0)</f>
        <v>Véhicules neufs</v>
      </c>
      <c r="V264" s="156" t="str">
        <f>+VLOOKUP($L264,Data_Validation!$A:$D,4,0)</f>
        <v>Autos détail</v>
      </c>
      <c r="W264" s="156" t="str">
        <f>+VLOOKUP($L264,Data_Validation!$A:$E,5,0)</f>
        <v>$</v>
      </c>
      <c r="X264" s="156">
        <f>+VLOOKUP($L264,Data_Validation!$A:$F,6,0)</f>
        <v>0</v>
      </c>
    </row>
    <row r="265" spans="1:24" ht="15" hidden="1" customHeight="1">
      <c r="A265" s="1012" t="s">
        <v>2450</v>
      </c>
      <c r="B265" s="1012" t="s">
        <v>2451</v>
      </c>
      <c r="C265" s="1014">
        <v>743451.1</v>
      </c>
      <c r="D265" s="1014">
        <v>92624.41</v>
      </c>
      <c r="E265" s="1014">
        <v>836075.51</v>
      </c>
      <c r="F265" s="1012" t="s">
        <v>424</v>
      </c>
      <c r="G265" s="1012" t="s">
        <v>2436</v>
      </c>
      <c r="H265" s="948"/>
      <c r="I265" s="948"/>
      <c r="J265" s="948"/>
      <c r="K265" s="948"/>
      <c r="L265" s="153" t="str">
        <f t="shared" si="18"/>
        <v>5109</v>
      </c>
      <c r="M265" s="154" t="str">
        <f t="shared" si="19"/>
        <v>C/V - GOLF R</v>
      </c>
      <c r="N265" s="155">
        <f>+IF(OR($Q265=Parametres!$G$2,$Q265=Parametres!$G$3),I265,C265)</f>
        <v>743451.1</v>
      </c>
      <c r="O265" s="155">
        <f>+IF(OR($Q265=Parametres!$G$2,$Q265=Parametres!$G$3),J265,D265)</f>
        <v>92624.41</v>
      </c>
      <c r="P265" s="155">
        <f>+IF(OR($Q265=Parametres!$G$2,$Q265=Parametres!$G$3),K265,E265)</f>
        <v>836075.51</v>
      </c>
      <c r="Q265" s="154" t="str">
        <f t="shared" si="20"/>
        <v>6-Coût des ventes</v>
      </c>
      <c r="R265" s="153" t="str">
        <f t="shared" si="20"/>
        <v>4109</v>
      </c>
      <c r="S265" s="154">
        <f t="shared" si="20"/>
        <v>0</v>
      </c>
      <c r="T265" s="156" t="str">
        <f>+VLOOKUP($L265,Data_Validation!$A:$D,1,0)</f>
        <v>5109</v>
      </c>
      <c r="U265" s="156" t="str">
        <f>+VLOOKUP($L265,Data_Validation!$A:$D,3,0)</f>
        <v>Véhicules neufs</v>
      </c>
      <c r="V265" s="156" t="str">
        <f>+VLOOKUP($L265,Data_Validation!$A:$D,4,0)</f>
        <v>Autos détail</v>
      </c>
      <c r="W265" s="156" t="str">
        <f>+VLOOKUP($L265,Data_Validation!$A:$E,5,0)</f>
        <v>$</v>
      </c>
      <c r="X265" s="156">
        <f>+VLOOKUP($L265,Data_Validation!$A:$F,6,0)</f>
        <v>0</v>
      </c>
    </row>
    <row r="266" spans="1:24" ht="15" hidden="1" customHeight="1">
      <c r="A266" s="1012" t="s">
        <v>2844</v>
      </c>
      <c r="B266" s="1012" t="s">
        <v>2845</v>
      </c>
      <c r="C266" s="1014">
        <v>2728117.45</v>
      </c>
      <c r="D266" s="1014">
        <v>476831.41</v>
      </c>
      <c r="E266" s="1014">
        <v>3204948.86</v>
      </c>
      <c r="F266" s="1012" t="s">
        <v>424</v>
      </c>
      <c r="G266" s="1012" t="s">
        <v>2014</v>
      </c>
      <c r="H266" s="948"/>
      <c r="I266" s="948"/>
      <c r="J266" s="948"/>
      <c r="K266" s="948"/>
      <c r="L266" s="153" t="str">
        <f t="shared" si="18"/>
        <v>5111</v>
      </c>
      <c r="M266" s="154" t="str">
        <f t="shared" si="19"/>
        <v>C/V - JETTA</v>
      </c>
      <c r="N266" s="155">
        <f>+IF(OR($Q266=Parametres!$G$2,$Q266=Parametres!$G$3),I266,C266)</f>
        <v>2728117.45</v>
      </c>
      <c r="O266" s="155">
        <f>+IF(OR($Q266=Parametres!$G$2,$Q266=Parametres!$G$3),J266,D266)</f>
        <v>476831.41</v>
      </c>
      <c r="P266" s="155">
        <f>+IF(OR($Q266=Parametres!$G$2,$Q266=Parametres!$G$3),K266,E266)</f>
        <v>3204948.86</v>
      </c>
      <c r="Q266" s="154" t="str">
        <f t="shared" si="20"/>
        <v>6-Coût des ventes</v>
      </c>
      <c r="R266" s="153" t="str">
        <f t="shared" si="20"/>
        <v>4111</v>
      </c>
      <c r="S266" s="154">
        <f t="shared" si="20"/>
        <v>0</v>
      </c>
      <c r="T266" s="156" t="str">
        <f>+VLOOKUP($L266,Data_Validation!$A:$D,1,0)</f>
        <v>5111</v>
      </c>
      <c r="U266" s="156" t="str">
        <f>+VLOOKUP($L266,Data_Validation!$A:$D,3,0)</f>
        <v>Véhicules neufs</v>
      </c>
      <c r="V266" s="156" t="str">
        <f>+VLOOKUP($L266,Data_Validation!$A:$D,4,0)</f>
        <v>Autos détail</v>
      </c>
      <c r="W266" s="156" t="str">
        <f>+VLOOKUP($L266,Data_Validation!$A:$E,5,0)</f>
        <v>$</v>
      </c>
      <c r="X266" s="156">
        <f>+VLOOKUP($L266,Data_Validation!$A:$F,6,0)</f>
        <v>0</v>
      </c>
    </row>
    <row r="267" spans="1:24" ht="15" hidden="1" customHeight="1">
      <c r="A267" s="1012" t="s">
        <v>2452</v>
      </c>
      <c r="B267" s="1012" t="s">
        <v>2453</v>
      </c>
      <c r="C267" s="1014">
        <v>1001024.94</v>
      </c>
      <c r="D267" s="1014">
        <v>128000.62</v>
      </c>
      <c r="E267" s="1014">
        <v>1129025.56</v>
      </c>
      <c r="F267" s="1012" t="s">
        <v>424</v>
      </c>
      <c r="G267" s="1012" t="s">
        <v>2438</v>
      </c>
      <c r="H267" s="948"/>
      <c r="I267" s="948"/>
      <c r="J267" s="948"/>
      <c r="K267" s="948"/>
      <c r="L267" s="153" t="str">
        <f t="shared" si="18"/>
        <v>5113</v>
      </c>
      <c r="M267" s="154" t="str">
        <f t="shared" si="19"/>
        <v>C/V - GOLF (FAMILIALE)</v>
      </c>
      <c r="N267" s="155">
        <f>+IF(OR($Q267=Parametres!$G$2,$Q267=Parametres!$G$3),I267,C267)</f>
        <v>1001024.94</v>
      </c>
      <c r="O267" s="155">
        <f>+IF(OR($Q267=Parametres!$G$2,$Q267=Parametres!$G$3),J267,D267)</f>
        <v>128000.62</v>
      </c>
      <c r="P267" s="155">
        <f>+IF(OR($Q267=Parametres!$G$2,$Q267=Parametres!$G$3),K267,E267)</f>
        <v>1129025.56</v>
      </c>
      <c r="Q267" s="154" t="str">
        <f t="shared" si="20"/>
        <v>6-Coût des ventes</v>
      </c>
      <c r="R267" s="153" t="str">
        <f t="shared" si="20"/>
        <v>4113</v>
      </c>
      <c r="S267" s="154">
        <f t="shared" si="20"/>
        <v>0</v>
      </c>
      <c r="T267" s="156" t="str">
        <f>+VLOOKUP($L267,Data_Validation!$A:$D,1,0)</f>
        <v>5113</v>
      </c>
      <c r="U267" s="156" t="str">
        <f>+VLOOKUP($L267,Data_Validation!$A:$D,3,0)</f>
        <v>Véhicules neufs</v>
      </c>
      <c r="V267" s="156" t="str">
        <f>+VLOOKUP($L267,Data_Validation!$A:$D,4,0)</f>
        <v>Autos détail</v>
      </c>
      <c r="W267" s="156" t="str">
        <f>+VLOOKUP($L267,Data_Validation!$A:$E,5,0)</f>
        <v>$</v>
      </c>
      <c r="X267" s="156">
        <f>+VLOOKUP($L267,Data_Validation!$A:$F,6,0)</f>
        <v>0</v>
      </c>
    </row>
    <row r="268" spans="1:24" ht="15" hidden="1" customHeight="1">
      <c r="A268" s="1012" t="s">
        <v>2454</v>
      </c>
      <c r="B268" s="1012" t="s">
        <v>2455</v>
      </c>
      <c r="C268" s="1014">
        <v>73684.66</v>
      </c>
      <c r="D268" s="1014">
        <v>0</v>
      </c>
      <c r="E268" s="1014">
        <v>73684.66</v>
      </c>
      <c r="F268" s="1012" t="s">
        <v>424</v>
      </c>
      <c r="G268" s="1012" t="s">
        <v>2440</v>
      </c>
      <c r="H268" s="948"/>
      <c r="I268" s="948"/>
      <c r="J268" s="948"/>
      <c r="K268" s="948"/>
      <c r="L268" s="153" t="str">
        <f t="shared" si="18"/>
        <v>5115</v>
      </c>
      <c r="M268" s="154" t="str">
        <f t="shared" si="19"/>
        <v>C/V - PASSAT BERLINE</v>
      </c>
      <c r="N268" s="155">
        <f>+IF(OR($Q268=Parametres!$G$2,$Q268=Parametres!$G$3),I268,C268)</f>
        <v>73684.66</v>
      </c>
      <c r="O268" s="155">
        <f>+IF(OR($Q268=Parametres!$G$2,$Q268=Parametres!$G$3),J268,D268)</f>
        <v>0</v>
      </c>
      <c r="P268" s="155">
        <f>+IF(OR($Q268=Parametres!$G$2,$Q268=Parametres!$G$3),K268,E268)</f>
        <v>73684.66</v>
      </c>
      <c r="Q268" s="154" t="str">
        <f t="shared" si="20"/>
        <v>6-Coût des ventes</v>
      </c>
      <c r="R268" s="153" t="str">
        <f t="shared" si="20"/>
        <v>4115</v>
      </c>
      <c r="S268" s="154">
        <f t="shared" si="20"/>
        <v>0</v>
      </c>
      <c r="T268" s="156" t="str">
        <f>+VLOOKUP($L268,Data_Validation!$A:$D,1,0)</f>
        <v>5115</v>
      </c>
      <c r="U268" s="156" t="str">
        <f>+VLOOKUP($L268,Data_Validation!$A:$D,3,0)</f>
        <v>Véhicules neufs</v>
      </c>
      <c r="V268" s="156" t="str">
        <f>+VLOOKUP($L268,Data_Validation!$A:$D,4,0)</f>
        <v>Autos détail</v>
      </c>
      <c r="W268" s="156" t="str">
        <f>+VLOOKUP($L268,Data_Validation!$A:$E,5,0)</f>
        <v>$</v>
      </c>
      <c r="X268" s="156">
        <f>+VLOOKUP($L268,Data_Validation!$A:$F,6,0)</f>
        <v>0</v>
      </c>
    </row>
    <row r="269" spans="1:24" ht="15" hidden="1" customHeight="1">
      <c r="A269" s="1012" t="s">
        <v>2850</v>
      </c>
      <c r="B269" s="1012" t="s">
        <v>2851</v>
      </c>
      <c r="C269" s="1014">
        <v>1500455.04</v>
      </c>
      <c r="D269" s="1014">
        <v>199717.09</v>
      </c>
      <c r="E269" s="1014">
        <v>1700172.13</v>
      </c>
      <c r="F269" s="1012" t="s">
        <v>424</v>
      </c>
      <c r="G269" s="1012" t="s">
        <v>2003</v>
      </c>
      <c r="H269" s="948"/>
      <c r="I269" s="948"/>
      <c r="J269" s="948"/>
      <c r="K269" s="948"/>
      <c r="L269" s="153" t="str">
        <f t="shared" si="18"/>
        <v>5119</v>
      </c>
      <c r="M269" s="154" t="str">
        <f t="shared" si="19"/>
        <v>C/V - ATLAS</v>
      </c>
      <c r="N269" s="155">
        <f>+IF(OR($Q269=Parametres!$G$2,$Q269=Parametres!$G$3),I269,C269)</f>
        <v>1500455.04</v>
      </c>
      <c r="O269" s="155">
        <f>+IF(OR($Q269=Parametres!$G$2,$Q269=Parametres!$G$3),J269,D269)</f>
        <v>199717.09</v>
      </c>
      <c r="P269" s="155">
        <f>+IF(OR($Q269=Parametres!$G$2,$Q269=Parametres!$G$3),K269,E269)</f>
        <v>1700172.13</v>
      </c>
      <c r="Q269" s="154" t="str">
        <f t="shared" si="20"/>
        <v>6-Coût des ventes</v>
      </c>
      <c r="R269" s="153" t="str">
        <f t="shared" si="20"/>
        <v>4119</v>
      </c>
      <c r="S269" s="154">
        <f t="shared" si="20"/>
        <v>0</v>
      </c>
      <c r="T269" s="156" t="str">
        <f>+VLOOKUP($L269,Data_Validation!$A:$D,1,0)</f>
        <v>5119</v>
      </c>
      <c r="U269" s="156" t="str">
        <f>+VLOOKUP($L269,Data_Validation!$A:$D,3,0)</f>
        <v>Véhicules neufs</v>
      </c>
      <c r="V269" s="156" t="str">
        <f>+VLOOKUP($L269,Data_Validation!$A:$D,4,0)</f>
        <v>Camions détail</v>
      </c>
      <c r="W269" s="156" t="str">
        <f>+VLOOKUP($L269,Data_Validation!$A:$E,5,0)</f>
        <v>$</v>
      </c>
      <c r="X269" s="156">
        <f>+VLOOKUP($L269,Data_Validation!$A:$F,6,0)</f>
        <v>0</v>
      </c>
    </row>
    <row r="270" spans="1:24" ht="15" hidden="1" customHeight="1">
      <c r="A270" s="1012" t="s">
        <v>2836</v>
      </c>
      <c r="B270" s="1012" t="s">
        <v>2837</v>
      </c>
      <c r="C270" s="1014">
        <v>567899.86</v>
      </c>
      <c r="D270" s="1014">
        <v>70807.06</v>
      </c>
      <c r="E270" s="1014">
        <v>638706.92000000004</v>
      </c>
      <c r="F270" s="1012" t="s">
        <v>424</v>
      </c>
      <c r="G270" s="1012" t="s">
        <v>2031</v>
      </c>
      <c r="H270" s="948"/>
      <c r="I270" s="948"/>
      <c r="J270" s="948"/>
      <c r="K270" s="948"/>
      <c r="L270" s="153" t="str">
        <f t="shared" si="18"/>
        <v>5127</v>
      </c>
      <c r="M270" s="154" t="str">
        <f t="shared" si="19"/>
        <v>C/V - GOLF GTI</v>
      </c>
      <c r="N270" s="155">
        <f>+IF(OR($Q270=Parametres!$G$2,$Q270=Parametres!$G$3),I270,C270)</f>
        <v>567899.86</v>
      </c>
      <c r="O270" s="575">
        <f>+IF(OR($Q270=Parametres!$G$2,$Q270=Parametres!$G$3),J270,D270)</f>
        <v>70807.06</v>
      </c>
      <c r="P270" s="155">
        <f>+IF(OR($Q270=Parametres!$G$2,$Q270=Parametres!$G$3),K270,E270)</f>
        <v>638706.92000000004</v>
      </c>
      <c r="Q270" s="154" t="str">
        <f t="shared" si="20"/>
        <v>6-Coût des ventes</v>
      </c>
      <c r="R270" s="153" t="str">
        <f t="shared" si="20"/>
        <v>4127</v>
      </c>
      <c r="S270" s="154">
        <f t="shared" si="20"/>
        <v>0</v>
      </c>
      <c r="T270" s="156" t="str">
        <f>+VLOOKUP($L270,Data_Validation!$A:$D,1,0)</f>
        <v>5127</v>
      </c>
      <c r="U270" s="156" t="str">
        <f>+VLOOKUP($L270,Data_Validation!$A:$D,3,0)</f>
        <v>Véhicules neufs</v>
      </c>
      <c r="V270" s="156" t="str">
        <f>+VLOOKUP($L270,Data_Validation!$A:$D,4,0)</f>
        <v>Autos détail</v>
      </c>
      <c r="W270" s="156" t="str">
        <f>+VLOOKUP($L270,Data_Validation!$A:$E,5,0)</f>
        <v>$</v>
      </c>
      <c r="X270" s="156">
        <f>+VLOOKUP($L270,Data_Validation!$A:$F,6,0)</f>
        <v>0</v>
      </c>
    </row>
    <row r="271" spans="1:24" ht="15" hidden="1" customHeight="1">
      <c r="A271" s="1012" t="s">
        <v>2855</v>
      </c>
      <c r="B271" s="1012" t="s">
        <v>2856</v>
      </c>
      <c r="C271" s="1014">
        <v>5043706.68</v>
      </c>
      <c r="D271" s="1014">
        <v>563910.72</v>
      </c>
      <c r="E271" s="1014">
        <v>5607617.4000000004</v>
      </c>
      <c r="F271" s="1012" t="s">
        <v>424</v>
      </c>
      <c r="G271" s="1012" t="s">
        <v>1999</v>
      </c>
      <c r="H271" s="948"/>
      <c r="I271" s="948"/>
      <c r="J271" s="948"/>
      <c r="K271" s="948"/>
      <c r="L271" s="153" t="str">
        <f t="shared" si="18"/>
        <v>5131</v>
      </c>
      <c r="M271" s="154" t="str">
        <f t="shared" si="19"/>
        <v>C/V - TIGUAN LWB</v>
      </c>
      <c r="N271" s="155">
        <f>+IF(OR($Q271=Parametres!$G$2,$Q271=Parametres!$G$3),I271,C271)</f>
        <v>5043706.68</v>
      </c>
      <c r="O271" s="575">
        <f>+IF(OR($Q271=Parametres!$G$2,$Q271=Parametres!$G$3),J271,D271)</f>
        <v>563910.72</v>
      </c>
      <c r="P271" s="155">
        <f>+IF(OR($Q271=Parametres!$G$2,$Q271=Parametres!$G$3),K271,E271)</f>
        <v>5607617.4000000004</v>
      </c>
      <c r="Q271" s="154" t="str">
        <f t="shared" si="20"/>
        <v>6-Coût des ventes</v>
      </c>
      <c r="R271" s="153" t="str">
        <f t="shared" si="20"/>
        <v>4131</v>
      </c>
      <c r="S271" s="154">
        <f t="shared" si="20"/>
        <v>0</v>
      </c>
      <c r="T271" s="156" t="str">
        <f>+VLOOKUP($L271,Data_Validation!$A:$D,1,0)</f>
        <v>5131</v>
      </c>
      <c r="U271" s="156" t="str">
        <f>+VLOOKUP($L271,Data_Validation!$A:$D,3,0)</f>
        <v>Véhicules neufs</v>
      </c>
      <c r="V271" s="156" t="str">
        <f>+VLOOKUP($L271,Data_Validation!$A:$D,4,0)</f>
        <v>Camions détail</v>
      </c>
      <c r="W271" s="156" t="str">
        <f>+VLOOKUP($L271,Data_Validation!$A:$E,5,0)</f>
        <v>$</v>
      </c>
      <c r="X271" s="156">
        <f>+VLOOKUP($L271,Data_Validation!$A:$F,6,0)</f>
        <v>0</v>
      </c>
    </row>
    <row r="272" spans="1:24" ht="15.75" hidden="1" customHeight="1">
      <c r="A272" s="1012" t="s">
        <v>2838</v>
      </c>
      <c r="B272" s="1012" t="s">
        <v>2839</v>
      </c>
      <c r="C272" s="1014">
        <v>477046.84</v>
      </c>
      <c r="D272" s="1014">
        <v>0</v>
      </c>
      <c r="E272" s="1014">
        <v>477046.84</v>
      </c>
      <c r="F272" s="1012" t="s">
        <v>424</v>
      </c>
      <c r="G272" s="1012" t="s">
        <v>2506</v>
      </c>
      <c r="H272" s="948"/>
      <c r="I272" s="948"/>
      <c r="J272" s="948"/>
      <c r="K272" s="948"/>
      <c r="L272" s="153" t="str">
        <f t="shared" si="18"/>
        <v>5135</v>
      </c>
      <c r="M272" s="154" t="str">
        <f t="shared" si="19"/>
        <v>C/V - EGOLF</v>
      </c>
      <c r="N272" s="155">
        <f>+IF(OR($Q272=Parametres!$G$2,$Q272=Parametres!$G$3),I272,C272)</f>
        <v>477046.84</v>
      </c>
      <c r="O272" s="575">
        <f>+IF(OR($Q272=Parametres!$G$2,$Q272=Parametres!$G$3),J272,D272)</f>
        <v>0</v>
      </c>
      <c r="P272" s="155">
        <f>+IF(OR($Q272=Parametres!$G$2,$Q272=Parametres!$G$3),K272,E272)</f>
        <v>477046.84</v>
      </c>
      <c r="Q272" s="154" t="str">
        <f t="shared" si="20"/>
        <v>6-Coût des ventes</v>
      </c>
      <c r="R272" s="153" t="str">
        <f t="shared" si="20"/>
        <v>84135</v>
      </c>
      <c r="S272" s="154">
        <f t="shared" si="20"/>
        <v>0</v>
      </c>
      <c r="T272" s="156" t="str">
        <f>+VLOOKUP($L272,Data_Validation!$A:$D,1,0)</f>
        <v>5135</v>
      </c>
      <c r="U272" s="156" t="str">
        <f>+VLOOKUP($L272,Data_Validation!$A:$D,3,0)</f>
        <v>Véhicules neufs</v>
      </c>
      <c r="V272" s="156" t="str">
        <f>+VLOOKUP($L272,Data_Validation!$A:$D,4,0)</f>
        <v>Autos détail</v>
      </c>
      <c r="W272" s="156" t="str">
        <f>+VLOOKUP($L272,Data_Validation!$A:$E,5,0)</f>
        <v>$</v>
      </c>
      <c r="X272" s="156">
        <f>+VLOOKUP($L272,Data_Validation!$A:$F,6,0)</f>
        <v>0</v>
      </c>
    </row>
    <row r="273" spans="1:24" ht="15" hidden="1" customHeight="1">
      <c r="A273" s="1012" t="s">
        <v>2456</v>
      </c>
      <c r="B273" s="1012" t="s">
        <v>2457</v>
      </c>
      <c r="C273" s="1014">
        <v>215965.62</v>
      </c>
      <c r="D273" s="1014">
        <v>64661.04</v>
      </c>
      <c r="E273" s="1014">
        <v>280626.65999999997</v>
      </c>
      <c r="F273" s="1012" t="s">
        <v>424</v>
      </c>
      <c r="G273" s="1012" t="s">
        <v>2442</v>
      </c>
      <c r="H273" s="948"/>
      <c r="I273" s="947"/>
      <c r="J273" s="947"/>
      <c r="K273" s="947"/>
      <c r="L273" s="153" t="str">
        <f t="shared" si="18"/>
        <v>5137</v>
      </c>
      <c r="M273" s="154" t="str">
        <f t="shared" si="19"/>
        <v>C/V - VW FLOTTE/VENTE ENTR/EMPLOYE/VEH DEMONS</v>
      </c>
      <c r="N273" s="155">
        <f>+IF(OR($Q273=Parametres!$G$2,$Q273=Parametres!$G$3),I273,C273)</f>
        <v>215965.62</v>
      </c>
      <c r="O273" s="575">
        <f>+IF(OR($Q273=Parametres!$G$2,$Q273=Parametres!$G$3),J273,D273)</f>
        <v>64661.04</v>
      </c>
      <c r="P273" s="155">
        <f>+IF(OR($Q273=Parametres!$G$2,$Q273=Parametres!$G$3),K273,E273)</f>
        <v>280626.65999999997</v>
      </c>
      <c r="Q273" s="154" t="str">
        <f t="shared" si="20"/>
        <v>6-Coût des ventes</v>
      </c>
      <c r="R273" s="153" t="str">
        <f t="shared" si="20"/>
        <v>4137</v>
      </c>
      <c r="S273" s="154">
        <f t="shared" si="20"/>
        <v>0</v>
      </c>
      <c r="T273" s="156" t="str">
        <f>+VLOOKUP($L273,Data_Validation!$A:$D,1,0)</f>
        <v>5137</v>
      </c>
      <c r="U273" s="156" t="str">
        <f>+VLOOKUP($L273,Data_Validation!$A:$D,3,0)</f>
        <v>Véhicules neufs</v>
      </c>
      <c r="V273" s="156" t="str">
        <f>+VLOOKUP($L273,Data_Validation!$A:$D,4,0)</f>
        <v>Flottes</v>
      </c>
      <c r="W273" s="156" t="str">
        <f>+VLOOKUP($L273,Data_Validation!$A:$E,5,0)</f>
        <v>$</v>
      </c>
      <c r="X273" s="156">
        <f>+VLOOKUP($L273,Data_Validation!$A:$F,6,0)</f>
        <v>0</v>
      </c>
    </row>
    <row r="274" spans="1:24" ht="15" hidden="1" customHeight="1">
      <c r="A274" s="1012" t="s">
        <v>2456</v>
      </c>
      <c r="B274" s="1012" t="s">
        <v>2849</v>
      </c>
      <c r="C274" s="1014">
        <v>541948.38</v>
      </c>
      <c r="D274" s="1014">
        <v>157111.48000000001</v>
      </c>
      <c r="E274" s="1014">
        <v>699059.86</v>
      </c>
      <c r="F274" s="1012" t="s">
        <v>424</v>
      </c>
      <c r="G274" s="1012" t="s">
        <v>2005</v>
      </c>
      <c r="H274" s="948"/>
      <c r="I274" s="947"/>
      <c r="J274" s="947"/>
      <c r="K274" s="947"/>
      <c r="L274" s="153" t="str">
        <f t="shared" si="18"/>
        <v>5139</v>
      </c>
      <c r="M274" s="154" t="str">
        <f t="shared" si="19"/>
        <v>C/V - VW FLOTTE/VENTE ENTR/EMPLOYE/VEH DEMONS</v>
      </c>
      <c r="N274" s="155">
        <f>+IF(OR($Q274=Parametres!$G$2,$Q274=Parametres!$G$3),I274,C274)</f>
        <v>541948.38</v>
      </c>
      <c r="O274" s="575">
        <f>+IF(OR($Q274=Parametres!$G$2,$Q274=Parametres!$G$3),J274,D274)</f>
        <v>157111.48000000001</v>
      </c>
      <c r="P274" s="155">
        <f>+IF(OR($Q274=Parametres!$G$2,$Q274=Parametres!$G$3),K274,E274)</f>
        <v>699059.86</v>
      </c>
      <c r="Q274" s="154" t="str">
        <f t="shared" ref="Q274:S289" si="21">+F274</f>
        <v>6-Coût des ventes</v>
      </c>
      <c r="R274" s="153" t="str">
        <f t="shared" si="21"/>
        <v>4139</v>
      </c>
      <c r="S274" s="154">
        <f t="shared" si="21"/>
        <v>0</v>
      </c>
      <c r="T274" s="156" t="str">
        <f>+VLOOKUP($L274,Data_Validation!$A:$D,1,0)</f>
        <v>5139</v>
      </c>
      <c r="U274" s="156" t="str">
        <f>+VLOOKUP($L274,Data_Validation!$A:$D,3,0)</f>
        <v>Véhicules neufs</v>
      </c>
      <c r="V274" s="156" t="str">
        <f>+VLOOKUP($L274,Data_Validation!$A:$D,4,0)</f>
        <v>Ex-Démos et courtoisies</v>
      </c>
      <c r="W274" s="156" t="str">
        <f>+VLOOKUP($L274,Data_Validation!$A:$E,5,0)</f>
        <v>$</v>
      </c>
      <c r="X274" s="156">
        <f>+VLOOKUP($L274,Data_Validation!$A:$F,6,0)</f>
        <v>0</v>
      </c>
    </row>
    <row r="275" spans="1:24" ht="15" hidden="1" customHeight="1">
      <c r="A275" s="1012" t="s">
        <v>2852</v>
      </c>
      <c r="B275" s="1012" t="s">
        <v>2853</v>
      </c>
      <c r="C275" s="1014">
        <v>427433.56</v>
      </c>
      <c r="D275" s="1014">
        <v>582061.12</v>
      </c>
      <c r="E275" s="1014">
        <v>1009494.68</v>
      </c>
      <c r="F275" s="1012" t="s">
        <v>424</v>
      </c>
      <c r="G275" s="1012" t="s">
        <v>2001</v>
      </c>
      <c r="H275" s="948"/>
      <c r="I275" s="947"/>
      <c r="J275" s="947"/>
      <c r="K275" s="947"/>
      <c r="L275" s="153" t="str">
        <f t="shared" si="18"/>
        <v>5201</v>
      </c>
      <c r="M275" s="154" t="str">
        <f t="shared" si="19"/>
        <v>C/V - VEH.USAGE VW DETAIL CERTIFIE</v>
      </c>
      <c r="N275" s="155">
        <f>+IF(OR($Q275=Parametres!$G$2,$Q275=Parametres!$G$3),I275,C275)</f>
        <v>427433.56</v>
      </c>
      <c r="O275" s="575">
        <f>+IF(OR($Q275=Parametres!$G$2,$Q275=Parametres!$G$3),J275,D275)</f>
        <v>582061.12</v>
      </c>
      <c r="P275" s="155">
        <f>+IF(OR($Q275=Parametres!$G$2,$Q275=Parametres!$G$3),K275,E275)</f>
        <v>1009494.68</v>
      </c>
      <c r="Q275" s="154" t="str">
        <f t="shared" si="21"/>
        <v>6-Coût des ventes</v>
      </c>
      <c r="R275" s="153" t="str">
        <f t="shared" si="21"/>
        <v>4201</v>
      </c>
      <c r="S275" s="154">
        <f t="shared" si="21"/>
        <v>0</v>
      </c>
      <c r="T275" s="156" t="str">
        <f>+VLOOKUP($L275,Data_Validation!$A:$D,1,0)</f>
        <v>5201</v>
      </c>
      <c r="U275" s="156" t="str">
        <f>+VLOOKUP($L275,Data_Validation!$A:$D,3,0)</f>
        <v>Véhicules usagés</v>
      </c>
      <c r="V275" s="156" t="str">
        <f>+VLOOKUP($L275,Data_Validation!$A:$D,4,0)</f>
        <v>Certifié</v>
      </c>
      <c r="W275" s="156" t="str">
        <f>+VLOOKUP($L275,Data_Validation!$A:$E,5,0)</f>
        <v>$</v>
      </c>
      <c r="X275" s="156">
        <f>+VLOOKUP($L275,Data_Validation!$A:$F,6,0)</f>
        <v>0</v>
      </c>
    </row>
    <row r="276" spans="1:24" ht="15" hidden="1" customHeight="1">
      <c r="A276" s="1012" t="s">
        <v>2830</v>
      </c>
      <c r="B276" s="1012" t="s">
        <v>2831</v>
      </c>
      <c r="C276" s="1014">
        <v>45662.1</v>
      </c>
      <c r="D276" s="1014">
        <v>55465.36</v>
      </c>
      <c r="E276" s="1014">
        <v>101127.46</v>
      </c>
      <c r="F276" s="1012" t="s">
        <v>424</v>
      </c>
      <c r="G276" s="1012" t="s">
        <v>2001</v>
      </c>
      <c r="H276" s="948"/>
      <c r="I276" s="947"/>
      <c r="J276" s="947"/>
      <c r="K276" s="947"/>
      <c r="L276" s="153" t="str">
        <f t="shared" si="18"/>
        <v>5203</v>
      </c>
      <c r="M276" s="154" t="str">
        <f t="shared" si="19"/>
        <v>C/V - RECOND USAGE VW CERT.</v>
      </c>
      <c r="N276" s="155">
        <f>+IF(OR($Q276=Parametres!$G$2,$Q276=Parametres!$G$3),I276,C276)</f>
        <v>45662.1</v>
      </c>
      <c r="O276" s="575">
        <f>+IF(OR($Q276=Parametres!$G$2,$Q276=Parametres!$G$3),J276,D276)</f>
        <v>55465.36</v>
      </c>
      <c r="P276" s="155">
        <f>+IF(OR($Q276=Parametres!$G$2,$Q276=Parametres!$G$3),K276,E276)</f>
        <v>101127.46</v>
      </c>
      <c r="Q276" s="154" t="str">
        <f t="shared" si="21"/>
        <v>6-Coût des ventes</v>
      </c>
      <c r="R276" s="153" t="str">
        <f t="shared" si="21"/>
        <v>4201</v>
      </c>
      <c r="S276" s="154">
        <f t="shared" si="21"/>
        <v>0</v>
      </c>
      <c r="T276" s="156" t="str">
        <f>+VLOOKUP($L276,Data_Validation!$A:$D,1,0)</f>
        <v>5203</v>
      </c>
      <c r="U276" s="156" t="str">
        <f>+VLOOKUP($L276,Data_Validation!$A:$D,3,0)</f>
        <v>Véhicules usagés</v>
      </c>
      <c r="V276" s="156" t="str">
        <f>+VLOOKUP($L276,Data_Validation!$A:$D,4,0)</f>
        <v>Certifié</v>
      </c>
      <c r="W276" s="156" t="str">
        <f>+VLOOKUP($L276,Data_Validation!$A:$E,5,0)</f>
        <v>$</v>
      </c>
      <c r="X276" s="156">
        <f>+VLOOKUP($L276,Data_Validation!$A:$F,6,0)</f>
        <v>0</v>
      </c>
    </row>
    <row r="277" spans="1:24" ht="15" hidden="1" customHeight="1">
      <c r="A277" s="1012" t="s">
        <v>2618</v>
      </c>
      <c r="B277" s="1012" t="s">
        <v>2619</v>
      </c>
      <c r="C277" s="1014">
        <v>2090668.59</v>
      </c>
      <c r="D277" s="1014">
        <v>8172.41</v>
      </c>
      <c r="E277" s="1014">
        <v>2098841</v>
      </c>
      <c r="F277" s="1012" t="s">
        <v>424</v>
      </c>
      <c r="G277" s="1012" t="s">
        <v>2444</v>
      </c>
      <c r="H277" s="948"/>
      <c r="I277" s="947"/>
      <c r="J277" s="947"/>
      <c r="K277" s="947"/>
      <c r="L277" s="153" t="str">
        <f t="shared" si="18"/>
        <v>5211</v>
      </c>
      <c r="M277" s="154" t="str">
        <f t="shared" si="19"/>
        <v>C/V - VW USAGES DETAIL</v>
      </c>
      <c r="N277" s="155">
        <f>+IF(OR($Q277=Parametres!$G$2,$Q277=Parametres!$G$3),I277,C277)</f>
        <v>2090668.59</v>
      </c>
      <c r="O277" s="575">
        <f>+IF(OR($Q277=Parametres!$G$2,$Q277=Parametres!$G$3),J277,D277)</f>
        <v>8172.41</v>
      </c>
      <c r="P277" s="155">
        <f>+IF(OR($Q277=Parametres!$G$2,$Q277=Parametres!$G$3),K277,E277)</f>
        <v>2098841</v>
      </c>
      <c r="Q277" s="154" t="str">
        <f t="shared" si="21"/>
        <v>6-Coût des ventes</v>
      </c>
      <c r="R277" s="153" t="str">
        <f t="shared" si="21"/>
        <v>4211</v>
      </c>
      <c r="S277" s="154">
        <f t="shared" si="21"/>
        <v>0</v>
      </c>
      <c r="T277" s="156" t="str">
        <f>+VLOOKUP($L277,Data_Validation!$A:$D,1,0)</f>
        <v>5211</v>
      </c>
      <c r="U277" s="156" t="str">
        <f>+VLOOKUP($L277,Data_Validation!$A:$D,3,0)</f>
        <v>Véhicules usagés</v>
      </c>
      <c r="V277" s="156" t="str">
        <f>+VLOOKUP($L277,Data_Validation!$A:$D,4,0)</f>
        <v>Non Certifié</v>
      </c>
      <c r="W277" s="156" t="str">
        <f>+VLOOKUP($L277,Data_Validation!$A:$E,5,0)</f>
        <v>$</v>
      </c>
      <c r="X277" s="156">
        <f>+VLOOKUP($L277,Data_Validation!$A:$F,6,0)</f>
        <v>0</v>
      </c>
    </row>
    <row r="278" spans="1:24" ht="15" hidden="1" customHeight="1">
      <c r="A278" s="1012" t="s">
        <v>2458</v>
      </c>
      <c r="B278" s="1012" t="s">
        <v>2459</v>
      </c>
      <c r="C278" s="1014">
        <v>181120.67</v>
      </c>
      <c r="D278" s="1014">
        <v>4031.39</v>
      </c>
      <c r="E278" s="1014">
        <v>185152.06</v>
      </c>
      <c r="F278" s="1012" t="s">
        <v>424</v>
      </c>
      <c r="G278" s="1012" t="s">
        <v>2444</v>
      </c>
      <c r="H278" s="948"/>
      <c r="I278" s="947"/>
      <c r="J278" s="947"/>
      <c r="K278" s="947"/>
      <c r="L278" s="153" t="str">
        <f t="shared" si="18"/>
        <v>5213</v>
      </c>
      <c r="M278" s="154" t="str">
        <f t="shared" si="19"/>
        <v>C/V - RECOND. USAGE VW DETAIL</v>
      </c>
      <c r="N278" s="155">
        <f>+IF(OR($Q278=Parametres!$G$2,$Q278=Parametres!$G$3),I278,C278)</f>
        <v>181120.67</v>
      </c>
      <c r="O278" s="575">
        <f>+IF(OR($Q278=Parametres!$G$2,$Q278=Parametres!$G$3),J278,D278)</f>
        <v>4031.39</v>
      </c>
      <c r="P278" s="155">
        <f>+IF(OR($Q278=Parametres!$G$2,$Q278=Parametres!$G$3),K278,E278)</f>
        <v>185152.06</v>
      </c>
      <c r="Q278" s="154" t="str">
        <f t="shared" si="21"/>
        <v>6-Coût des ventes</v>
      </c>
      <c r="R278" s="153" t="str">
        <f t="shared" si="21"/>
        <v>4211</v>
      </c>
      <c r="S278" s="154">
        <f t="shared" si="21"/>
        <v>0</v>
      </c>
      <c r="T278" s="156" t="str">
        <f>+VLOOKUP($L278,Data_Validation!$A:$D,1,0)</f>
        <v>5213</v>
      </c>
      <c r="U278" s="156" t="str">
        <f>+VLOOKUP($L278,Data_Validation!$A:$D,3,0)</f>
        <v>Véhicules usagés</v>
      </c>
      <c r="V278" s="156" t="str">
        <f>+VLOOKUP($L278,Data_Validation!$A:$D,4,0)</f>
        <v>Non Certifié</v>
      </c>
      <c r="W278" s="156" t="str">
        <f>+VLOOKUP($L278,Data_Validation!$A:$E,5,0)</f>
        <v>$</v>
      </c>
      <c r="X278" s="156">
        <f>+VLOOKUP($L278,Data_Validation!$A:$F,6,0)</f>
        <v>0</v>
      </c>
    </row>
    <row r="279" spans="1:24" ht="15.75" hidden="1" customHeight="1">
      <c r="A279" s="1012" t="s">
        <v>2038</v>
      </c>
      <c r="B279" s="1012" t="s">
        <v>2827</v>
      </c>
      <c r="C279" s="1014">
        <v>668730.68999999994</v>
      </c>
      <c r="D279" s="1014">
        <v>61995.94</v>
      </c>
      <c r="E279" s="1014">
        <v>730726.63</v>
      </c>
      <c r="F279" s="1012" t="s">
        <v>424</v>
      </c>
      <c r="G279" s="1012" t="s">
        <v>2040</v>
      </c>
      <c r="H279" s="948"/>
      <c r="I279" s="947"/>
      <c r="J279" s="947"/>
      <c r="K279" s="947"/>
      <c r="L279" s="153" t="str">
        <f t="shared" si="18"/>
        <v>5285</v>
      </c>
      <c r="M279" s="154" t="str">
        <f t="shared" si="19"/>
        <v>VEH. D'OCC. AUTRE DETAIL</v>
      </c>
      <c r="N279" s="155">
        <f>+IF(OR($Q279=Parametres!$G$2,$Q279=Parametres!$G$3),I279,C279)</f>
        <v>668730.68999999994</v>
      </c>
      <c r="O279" s="575">
        <f>+IF(OR($Q279=Parametres!$G$2,$Q279=Parametres!$G$3),J279,D279)</f>
        <v>61995.94</v>
      </c>
      <c r="P279" s="155">
        <f>+IF(OR($Q279=Parametres!$G$2,$Q279=Parametres!$G$3),K279,E279)</f>
        <v>730726.63</v>
      </c>
      <c r="Q279" s="154" t="str">
        <f t="shared" si="21"/>
        <v>6-Coût des ventes</v>
      </c>
      <c r="R279" s="153" t="str">
        <f t="shared" si="21"/>
        <v>4261</v>
      </c>
      <c r="S279" s="154">
        <f t="shared" si="21"/>
        <v>0</v>
      </c>
      <c r="T279" s="156" t="str">
        <f>+VLOOKUP($L279,Data_Validation!$A:$D,1,0)</f>
        <v>5285</v>
      </c>
      <c r="U279" s="156" t="str">
        <f>+VLOOKUP($L279,Data_Validation!$A:$D,3,0)</f>
        <v>Véhicules usagés</v>
      </c>
      <c r="V279" s="156" t="str">
        <f>+VLOOKUP($L279,Data_Validation!$A:$D,4,0)</f>
        <v>Non Certifié</v>
      </c>
      <c r="W279" s="156" t="str">
        <f>+VLOOKUP($L279,Data_Validation!$A:$E,5,0)</f>
        <v>$</v>
      </c>
      <c r="X279" s="156">
        <f>+VLOOKUP($L279,Data_Validation!$A:$F,6,0)</f>
        <v>0</v>
      </c>
    </row>
    <row r="280" spans="1:24" ht="15" hidden="1" customHeight="1">
      <c r="A280" s="1012" t="s">
        <v>2672</v>
      </c>
      <c r="B280" s="1012" t="s">
        <v>2673</v>
      </c>
      <c r="C280" s="1014">
        <v>49951.55</v>
      </c>
      <c r="D280" s="1014">
        <v>5222.67</v>
      </c>
      <c r="E280" s="1014">
        <v>55174.22</v>
      </c>
      <c r="F280" s="1012" t="s">
        <v>424</v>
      </c>
      <c r="G280" s="1012" t="s">
        <v>2040</v>
      </c>
      <c r="H280" s="948"/>
      <c r="I280" s="947"/>
      <c r="J280" s="947"/>
      <c r="K280" s="947"/>
      <c r="L280" s="153" t="str">
        <f t="shared" si="18"/>
        <v>5286</v>
      </c>
      <c r="M280" s="154" t="str">
        <f t="shared" si="19"/>
        <v>RECOND. AUTRE DETAIL</v>
      </c>
      <c r="N280" s="155">
        <f>+IF(OR($Q280=Parametres!$G$2,$Q280=Parametres!$G$3),I280,C280)</f>
        <v>49951.55</v>
      </c>
      <c r="O280" s="575">
        <f>+IF(OR($Q280=Parametres!$G$2,$Q280=Parametres!$G$3),J280,D280)</f>
        <v>5222.67</v>
      </c>
      <c r="P280" s="155">
        <f>+IF(OR($Q280=Parametres!$G$2,$Q280=Parametres!$G$3),K280,E280)</f>
        <v>55174.22</v>
      </c>
      <c r="Q280" s="154" t="str">
        <f t="shared" si="21"/>
        <v>6-Coût des ventes</v>
      </c>
      <c r="R280" s="153" t="str">
        <f t="shared" si="21"/>
        <v>4261</v>
      </c>
      <c r="S280" s="154">
        <f t="shared" si="21"/>
        <v>0</v>
      </c>
      <c r="T280" s="156" t="str">
        <f>+VLOOKUP($L280,Data_Validation!$A:$D,1,0)</f>
        <v>5286</v>
      </c>
      <c r="U280" s="156" t="str">
        <f>+VLOOKUP($L280,Data_Validation!$A:$D,3,0)</f>
        <v>Véhicules usagés</v>
      </c>
      <c r="V280" s="156" t="str">
        <f>+VLOOKUP($L280,Data_Validation!$A:$D,4,0)</f>
        <v>Non Certifié</v>
      </c>
      <c r="W280" s="156" t="str">
        <f>+VLOOKUP($L280,Data_Validation!$A:$E,5,0)</f>
        <v>$</v>
      </c>
      <c r="X280" s="156">
        <f>+VLOOKUP($L280,Data_Validation!$A:$F,6,0)</f>
        <v>0</v>
      </c>
    </row>
    <row r="281" spans="1:24" ht="15" hidden="1" customHeight="1">
      <c r="A281" s="1012" t="s">
        <v>2006</v>
      </c>
      <c r="B281" s="1012" t="s">
        <v>2848</v>
      </c>
      <c r="C281" s="1014">
        <v>1216759.49</v>
      </c>
      <c r="D281" s="1014">
        <v>329658.25</v>
      </c>
      <c r="E281" s="1014">
        <v>1546417.74</v>
      </c>
      <c r="F281" s="1012" t="s">
        <v>424</v>
      </c>
      <c r="G281" s="1012" t="s">
        <v>2008</v>
      </c>
      <c r="H281" s="948"/>
      <c r="I281" s="947"/>
      <c r="J281" s="947"/>
      <c r="K281" s="947"/>
      <c r="L281" s="153" t="str">
        <f t="shared" si="18"/>
        <v>5291</v>
      </c>
      <c r="M281" s="154" t="str">
        <f t="shared" si="19"/>
        <v>VEH. D'OCC. AU GROS</v>
      </c>
      <c r="N281" s="155">
        <f>+IF(OR($Q281=Parametres!$G$2,$Q281=Parametres!$G$3),I281,C281)</f>
        <v>1216759.49</v>
      </c>
      <c r="O281" s="575">
        <f>+IF(OR($Q281=Parametres!$G$2,$Q281=Parametres!$G$3),J281,D281)</f>
        <v>329658.25</v>
      </c>
      <c r="P281" s="155">
        <f>+IF(OR($Q281=Parametres!$G$2,$Q281=Parametres!$G$3),K281,E281)</f>
        <v>1546417.74</v>
      </c>
      <c r="Q281" s="154" t="str">
        <f t="shared" si="21"/>
        <v>6-Coût des ventes</v>
      </c>
      <c r="R281" s="153" t="str">
        <f t="shared" si="21"/>
        <v>4281</v>
      </c>
      <c r="S281" s="154">
        <f t="shared" si="21"/>
        <v>0</v>
      </c>
      <c r="T281" s="156" t="str">
        <f>+VLOOKUP($L281,Data_Validation!$A:$D,1,0)</f>
        <v>5291</v>
      </c>
      <c r="U281" s="156" t="str">
        <f>+VLOOKUP($L281,Data_Validation!$A:$D,3,0)</f>
        <v>Véhicules usagés</v>
      </c>
      <c r="V281" s="156" t="str">
        <f>+VLOOKUP($L281,Data_Validation!$A:$D,4,0)</f>
        <v>Ventes au Gros</v>
      </c>
      <c r="W281" s="156" t="str">
        <f>+VLOOKUP($L281,Data_Validation!$A:$E,5,0)</f>
        <v>$</v>
      </c>
      <c r="X281" s="156">
        <f>+VLOOKUP($L281,Data_Validation!$A:$F,6,0)</f>
        <v>0</v>
      </c>
    </row>
    <row r="282" spans="1:24" ht="15" hidden="1" customHeight="1">
      <c r="A282" s="1012" t="s">
        <v>2828</v>
      </c>
      <c r="B282" s="1012" t="s">
        <v>2829</v>
      </c>
      <c r="C282" s="1014">
        <v>158219.09</v>
      </c>
      <c r="D282" s="1014">
        <v>22894.79</v>
      </c>
      <c r="E282" s="1014">
        <v>181113.88</v>
      </c>
      <c r="F282" s="1012" t="s">
        <v>424</v>
      </c>
      <c r="G282" s="1012" t="s">
        <v>2012</v>
      </c>
      <c r="H282" s="948"/>
      <c r="I282" s="948"/>
      <c r="J282" s="948"/>
      <c r="K282" s="948"/>
      <c r="L282" s="153" t="str">
        <f t="shared" si="18"/>
        <v>5401</v>
      </c>
      <c r="M282" s="154" t="str">
        <f t="shared" si="19"/>
        <v>COUT M.O. MECANIQUE CLIENTS</v>
      </c>
      <c r="N282" s="155">
        <f>+IF(OR($Q282=Parametres!$G$2,$Q282=Parametres!$G$3),I282,C282)</f>
        <v>158219.09</v>
      </c>
      <c r="O282" s="575">
        <f>+IF(OR($Q282=Parametres!$G$2,$Q282=Parametres!$G$3),J282,D282)</f>
        <v>22894.79</v>
      </c>
      <c r="P282" s="155">
        <f>+IF(OR($Q282=Parametres!$G$2,$Q282=Parametres!$G$3),K282,E282)</f>
        <v>181113.88</v>
      </c>
      <c r="Q282" s="154" t="str">
        <f t="shared" si="21"/>
        <v>6-Coût des ventes</v>
      </c>
      <c r="R282" s="153" t="str">
        <f t="shared" si="21"/>
        <v>4401</v>
      </c>
      <c r="S282" s="154">
        <f t="shared" si="21"/>
        <v>0</v>
      </c>
      <c r="T282" s="156" t="str">
        <f>+VLOOKUP($L282,Data_Validation!$A:$D,1,0)</f>
        <v>5401</v>
      </c>
      <c r="U282" s="156" t="str">
        <f>+VLOOKUP($L282,Data_Validation!$A:$D,3,0)</f>
        <v>Service</v>
      </c>
      <c r="V282" s="156" t="str">
        <f>+VLOOKUP($L282,Data_Validation!$A:$D,4,0)</f>
        <v>M/O Client</v>
      </c>
      <c r="W282" s="156" t="str">
        <f>+VLOOKUP($L282,Data_Validation!$A:$E,5,0)</f>
        <v>$</v>
      </c>
      <c r="X282" s="156">
        <f>+VLOOKUP($L282,Data_Validation!$A:$F,6,0)</f>
        <v>0</v>
      </c>
    </row>
    <row r="283" spans="1:24" ht="15.75" hidden="1" customHeight="1">
      <c r="A283" s="1012" t="s">
        <v>2566</v>
      </c>
      <c r="B283" s="1012" t="s">
        <v>2567</v>
      </c>
      <c r="C283" s="1014">
        <v>30.6</v>
      </c>
      <c r="D283" s="1014">
        <v>13</v>
      </c>
      <c r="E283" s="1014">
        <v>43.6</v>
      </c>
      <c r="F283" s="1012" t="s">
        <v>424</v>
      </c>
      <c r="G283" s="1012" t="s">
        <v>2192</v>
      </c>
      <c r="H283" s="948"/>
      <c r="I283" s="948"/>
      <c r="J283" s="948"/>
      <c r="K283" s="948"/>
      <c r="L283" s="153" t="str">
        <f t="shared" si="18"/>
        <v>5402</v>
      </c>
      <c r="M283" s="154" t="str">
        <f t="shared" si="19"/>
        <v>C/V - M.O. ESTHETIQUE CLIENT</v>
      </c>
      <c r="N283" s="155">
        <f>+IF(OR($Q283=Parametres!$G$2,$Q283=Parametres!$G$3),I283,C283)</f>
        <v>30.6</v>
      </c>
      <c r="O283" s="575">
        <f>+IF(OR($Q283=Parametres!$G$2,$Q283=Parametres!$G$3),J283,D283)</f>
        <v>13</v>
      </c>
      <c r="P283" s="155">
        <f>+IF(OR($Q283=Parametres!$G$2,$Q283=Parametres!$G$3),K283,E283)</f>
        <v>43.6</v>
      </c>
      <c r="Q283" s="154" t="str">
        <f t="shared" si="21"/>
        <v>6-Coût des ventes</v>
      </c>
      <c r="R283" s="153" t="str">
        <f t="shared" si="21"/>
        <v>4402</v>
      </c>
      <c r="S283" s="154">
        <f t="shared" si="21"/>
        <v>0</v>
      </c>
      <c r="T283" s="156" t="str">
        <f>+VLOOKUP($L283,Data_Validation!$A:$D,1,0)</f>
        <v>5402</v>
      </c>
      <c r="U283" s="156" t="str">
        <f>+VLOOKUP($L283,Data_Validation!$A:$D,3,0)</f>
        <v>Service</v>
      </c>
      <c r="V283" s="156" t="str">
        <f>+VLOOKUP($L283,Data_Validation!$A:$D,4,0)</f>
        <v>M/O Esthétique</v>
      </c>
      <c r="W283" s="156" t="str">
        <f>+VLOOKUP($L283,Data_Validation!$A:$E,5,0)</f>
        <v>$</v>
      </c>
      <c r="X283" s="156">
        <f>+VLOOKUP($L283,Data_Validation!$A:$F,6,0)</f>
        <v>0</v>
      </c>
    </row>
    <row r="284" spans="1:24" ht="15" hidden="1" customHeight="1">
      <c r="A284" s="1012" t="s">
        <v>2791</v>
      </c>
      <c r="B284" s="1012" t="s">
        <v>2792</v>
      </c>
      <c r="C284" s="1014">
        <v>129349.17</v>
      </c>
      <c r="D284" s="1014">
        <v>23781.38</v>
      </c>
      <c r="E284" s="1014">
        <v>153130.54999999999</v>
      </c>
      <c r="F284" s="1012" t="s">
        <v>424</v>
      </c>
      <c r="G284" s="1012" t="s">
        <v>2042</v>
      </c>
      <c r="H284" s="948"/>
      <c r="I284" s="948"/>
      <c r="J284" s="948"/>
      <c r="K284" s="948"/>
      <c r="L284" s="153" t="str">
        <f t="shared" si="18"/>
        <v>5403</v>
      </c>
      <c r="M284" s="154" t="str">
        <f t="shared" si="19"/>
        <v>COUT MEC VENTE GARANTIE MANUF</v>
      </c>
      <c r="N284" s="155">
        <f>+IF(OR($Q284=Parametres!$G$2,$Q284=Parametres!$G$3),I284,C284)</f>
        <v>129349.17</v>
      </c>
      <c r="O284" s="575">
        <f>+IF(OR($Q284=Parametres!$G$2,$Q284=Parametres!$G$3),J284,D284)</f>
        <v>23781.38</v>
      </c>
      <c r="P284" s="155">
        <f>+IF(OR($Q284=Parametres!$G$2,$Q284=Parametres!$G$3),K284,E284)</f>
        <v>153130.54999999999</v>
      </c>
      <c r="Q284" s="154" t="str">
        <f t="shared" si="21"/>
        <v>6-Coût des ventes</v>
      </c>
      <c r="R284" s="153" t="str">
        <f t="shared" si="21"/>
        <v>4403</v>
      </c>
      <c r="S284" s="154">
        <f t="shared" si="21"/>
        <v>0</v>
      </c>
      <c r="T284" s="156" t="str">
        <f>+VLOOKUP($L284,Data_Validation!$A:$D,1,0)</f>
        <v>5403</v>
      </c>
      <c r="U284" s="156" t="str">
        <f>+VLOOKUP($L284,Data_Validation!$A:$D,3,0)</f>
        <v>Service</v>
      </c>
      <c r="V284" s="156" t="str">
        <f>+VLOOKUP($L284,Data_Validation!$A:$D,4,0)</f>
        <v>M/O Garantie</v>
      </c>
      <c r="W284" s="156" t="str">
        <f>+VLOOKUP($L284,Data_Validation!$A:$E,5,0)</f>
        <v>$</v>
      </c>
      <c r="X284" s="156">
        <f>+VLOOKUP($L284,Data_Validation!$A:$F,6,0)</f>
        <v>0</v>
      </c>
    </row>
    <row r="285" spans="1:24" ht="15" hidden="1" customHeight="1">
      <c r="A285" s="1012" t="s">
        <v>2777</v>
      </c>
      <c r="B285" s="1012" t="s">
        <v>2778</v>
      </c>
      <c r="C285" s="1014">
        <v>80395.66</v>
      </c>
      <c r="D285" s="1014">
        <v>12071.95</v>
      </c>
      <c r="E285" s="1014">
        <v>92467.61</v>
      </c>
      <c r="F285" s="1012" t="s">
        <v>424</v>
      </c>
      <c r="G285" s="1012" t="s">
        <v>2052</v>
      </c>
      <c r="H285" s="948"/>
      <c r="I285" s="948"/>
      <c r="J285" s="948"/>
      <c r="K285" s="948"/>
      <c r="L285" s="153" t="str">
        <f t="shared" si="18"/>
        <v>5405</v>
      </c>
      <c r="M285" s="154" t="str">
        <f t="shared" si="19"/>
        <v>C D V VENTES M OINTERNE</v>
      </c>
      <c r="N285" s="155">
        <f>+IF(OR($Q285=Parametres!$G$2,$Q285=Parametres!$G$3),I285,C285)</f>
        <v>80395.66</v>
      </c>
      <c r="O285" s="575">
        <f>+IF(OR($Q285=Parametres!$G$2,$Q285=Parametres!$G$3),J285,D285)</f>
        <v>12071.95</v>
      </c>
      <c r="P285" s="155">
        <f>+IF(OR($Q285=Parametres!$G$2,$Q285=Parametres!$G$3),K285,E285)</f>
        <v>92467.61</v>
      </c>
      <c r="Q285" s="154" t="str">
        <f t="shared" si="21"/>
        <v>6-Coût des ventes</v>
      </c>
      <c r="R285" s="153" t="str">
        <f t="shared" si="21"/>
        <v>4405</v>
      </c>
      <c r="S285" s="154">
        <f t="shared" si="21"/>
        <v>0</v>
      </c>
      <c r="T285" s="156" t="str">
        <f>+VLOOKUP($L285,Data_Validation!$A:$D,1,0)</f>
        <v>5405</v>
      </c>
      <c r="U285" s="156" t="str">
        <f>+VLOOKUP($L285,Data_Validation!$A:$D,3,0)</f>
        <v>Service</v>
      </c>
      <c r="V285" s="156" t="str">
        <f>+VLOOKUP($L285,Data_Validation!$A:$D,4,0)</f>
        <v>M/O Interne</v>
      </c>
      <c r="W285" s="156" t="str">
        <f>+VLOOKUP($L285,Data_Validation!$A:$E,5,0)</f>
        <v>$</v>
      </c>
      <c r="X285" s="156">
        <f>+VLOOKUP($L285,Data_Validation!$A:$F,6,0)</f>
        <v>0</v>
      </c>
    </row>
    <row r="286" spans="1:24" ht="15" hidden="1" customHeight="1">
      <c r="A286" s="1012" t="s">
        <v>2725</v>
      </c>
      <c r="B286" s="1012" t="s">
        <v>2726</v>
      </c>
      <c r="C286" s="1014">
        <v>20297.849999999999</v>
      </c>
      <c r="D286" s="1014">
        <v>2108.6999999999998</v>
      </c>
      <c r="E286" s="1014">
        <v>22406.55</v>
      </c>
      <c r="F286" s="1012" t="s">
        <v>424</v>
      </c>
      <c r="G286" s="1012" t="s">
        <v>2727</v>
      </c>
      <c r="H286" s="948"/>
      <c r="I286" s="948"/>
      <c r="J286" s="948"/>
      <c r="K286" s="948"/>
      <c r="L286" s="153" t="str">
        <f t="shared" si="18"/>
        <v>5416</v>
      </c>
      <c r="M286" s="154" t="str">
        <f t="shared" si="19"/>
        <v>C/V - TEMPS MORT M.O. SERVICE</v>
      </c>
      <c r="N286" s="155">
        <f>+IF(OR($Q286=Parametres!$G$2,$Q286=Parametres!$G$3),I286,C286)</f>
        <v>20297.849999999999</v>
      </c>
      <c r="O286" s="575">
        <f>+IF(OR($Q286=Parametres!$G$2,$Q286=Parametres!$G$3),J286,D286)</f>
        <v>2108.6999999999998</v>
      </c>
      <c r="P286" s="155">
        <f>+IF(OR($Q286=Parametres!$G$2,$Q286=Parametres!$G$3),K286,E286)</f>
        <v>22406.55</v>
      </c>
      <c r="Q286" s="154" t="str">
        <f t="shared" si="21"/>
        <v>6-Coût des ventes</v>
      </c>
      <c r="R286" s="153" t="str">
        <f t="shared" si="21"/>
        <v>4416</v>
      </c>
      <c r="S286" s="154">
        <f t="shared" si="21"/>
        <v>0</v>
      </c>
      <c r="T286" s="156" t="str">
        <f>+VLOOKUP($L286,Data_Validation!$A:$D,1,0)</f>
        <v>5416</v>
      </c>
      <c r="U286" s="156" t="str">
        <f>+VLOOKUP($L286,Data_Validation!$A:$D,3,0)</f>
        <v>Service</v>
      </c>
      <c r="V286" s="156" t="str">
        <f>+VLOOKUP($L286,Data_Validation!$A:$D,4,0)</f>
        <v>Ajustement M/O</v>
      </c>
      <c r="W286" s="156" t="str">
        <f>+VLOOKUP($L286,Data_Validation!$A:$E,5,0)</f>
        <v>$</v>
      </c>
      <c r="X286" s="156">
        <f>+VLOOKUP($L286,Data_Validation!$A:$F,6,0)</f>
        <v>0</v>
      </c>
    </row>
    <row r="287" spans="1:24" ht="15.75" hidden="1" customHeight="1">
      <c r="A287" s="1012" t="s">
        <v>2071</v>
      </c>
      <c r="B287" s="1012" t="s">
        <v>2802</v>
      </c>
      <c r="C287" s="1014">
        <v>73477.429999999993</v>
      </c>
      <c r="D287" s="1014">
        <v>13905.84</v>
      </c>
      <c r="E287" s="1014">
        <v>87383.27</v>
      </c>
      <c r="F287" s="1012" t="s">
        <v>424</v>
      </c>
      <c r="G287" s="1012" t="s">
        <v>2073</v>
      </c>
      <c r="H287" s="948"/>
      <c r="I287" s="948"/>
      <c r="J287" s="948"/>
      <c r="K287" s="948"/>
      <c r="L287" s="153" t="str">
        <f t="shared" si="18"/>
        <v>5451</v>
      </c>
      <c r="M287" s="154" t="str">
        <f t="shared" si="19"/>
        <v>CARBURANT/HUILE/GRAISSE</v>
      </c>
      <c r="N287" s="155">
        <f>+IF(OR($Q287=Parametres!$G$2,$Q287=Parametres!$G$3),I287,C287)</f>
        <v>73477.429999999993</v>
      </c>
      <c r="O287" s="575">
        <f>+IF(OR($Q287=Parametres!$G$2,$Q287=Parametres!$G$3),J287,D287)</f>
        <v>13905.84</v>
      </c>
      <c r="P287" s="155">
        <f>+IF(OR($Q287=Parametres!$G$2,$Q287=Parametres!$G$3),K287,E287)</f>
        <v>87383.27</v>
      </c>
      <c r="Q287" s="154" t="str">
        <f t="shared" si="21"/>
        <v>6-Coût des ventes</v>
      </c>
      <c r="R287" s="153" t="str">
        <f t="shared" si="21"/>
        <v>4782</v>
      </c>
      <c r="S287" s="154">
        <f t="shared" si="21"/>
        <v>0</v>
      </c>
      <c r="T287" s="156" t="str">
        <f>+VLOOKUP($L287,Data_Validation!$A:$D,1,0)</f>
        <v>5451</v>
      </c>
      <c r="U287" s="156" t="str">
        <f>+VLOOKUP($L287,Data_Validation!$A:$D,3,0)</f>
        <v>Pièces</v>
      </c>
      <c r="V287" s="156" t="str">
        <f>+VLOOKUP($L287,Data_Validation!$A:$D,4,0)</f>
        <v>Huiles et Graisse</v>
      </c>
      <c r="W287" s="156" t="str">
        <f>+VLOOKUP($L287,Data_Validation!$A:$E,5,0)</f>
        <v>$</v>
      </c>
      <c r="X287" s="156">
        <f>+VLOOKUP($L287,Data_Validation!$A:$F,6,0)</f>
        <v>0</v>
      </c>
    </row>
    <row r="288" spans="1:24" ht="15" hidden="1" customHeight="1">
      <c r="A288" s="1012" t="s">
        <v>2144</v>
      </c>
      <c r="B288" s="1012" t="s">
        <v>2713</v>
      </c>
      <c r="C288" s="1014">
        <v>21213.69</v>
      </c>
      <c r="D288" s="1014">
        <v>3097.27</v>
      </c>
      <c r="E288" s="1014">
        <v>24310.959999999999</v>
      </c>
      <c r="F288" s="1012" t="s">
        <v>424</v>
      </c>
      <c r="G288" s="1012" t="s">
        <v>2145</v>
      </c>
      <c r="H288" s="948"/>
      <c r="I288" s="948"/>
      <c r="J288" s="948"/>
      <c r="K288" s="948"/>
      <c r="L288" s="153" t="str">
        <f t="shared" si="18"/>
        <v>5491</v>
      </c>
      <c r="M288" s="154" t="str">
        <f t="shared" si="19"/>
        <v>REPARATION SOUS-LOC. - GENERAL</v>
      </c>
      <c r="N288" s="155">
        <f>+IF(OR($Q288=Parametres!$G$2,$Q288=Parametres!$G$3),I288,C288)</f>
        <v>21213.69</v>
      </c>
      <c r="O288" s="575">
        <f>+IF(OR($Q288=Parametres!$G$2,$Q288=Parametres!$G$3),J288,D288)</f>
        <v>3097.27</v>
      </c>
      <c r="P288" s="155">
        <f>+IF(OR($Q288=Parametres!$G$2,$Q288=Parametres!$G$3),K288,E288)</f>
        <v>24310.959999999999</v>
      </c>
      <c r="Q288" s="154" t="str">
        <f t="shared" si="21"/>
        <v>6-Coût des ventes</v>
      </c>
      <c r="R288" s="153" t="str">
        <f t="shared" si="21"/>
        <v>4491</v>
      </c>
      <c r="S288" s="154">
        <f t="shared" si="21"/>
        <v>0</v>
      </c>
      <c r="T288" s="156" t="str">
        <f>+VLOOKUP($L288,Data_Validation!$A:$D,1,0)</f>
        <v>5491</v>
      </c>
      <c r="U288" s="156" t="str">
        <f>+VLOOKUP($L288,Data_Validation!$A:$D,3,0)</f>
        <v>Service</v>
      </c>
      <c r="V288" s="156" t="str">
        <f>+VLOOKUP($L288,Data_Validation!$A:$D,4,0)</f>
        <v>Sous-traitement</v>
      </c>
      <c r="W288" s="156" t="str">
        <f>+VLOOKUP($L288,Data_Validation!$A:$E,5,0)</f>
        <v>$</v>
      </c>
      <c r="X288" s="156">
        <f>+VLOOKUP($L288,Data_Validation!$A:$F,6,0)</f>
        <v>0</v>
      </c>
    </row>
    <row r="289" spans="1:24" ht="15" hidden="1" customHeight="1">
      <c r="A289" s="1012" t="s">
        <v>2687</v>
      </c>
      <c r="B289" s="1012" t="s">
        <v>2688</v>
      </c>
      <c r="C289" s="1014">
        <v>7190.66</v>
      </c>
      <c r="D289" s="1014">
        <v>576.85</v>
      </c>
      <c r="E289" s="1014">
        <v>7767.51</v>
      </c>
      <c r="F289" s="1012" t="s">
        <v>424</v>
      </c>
      <c r="G289" s="1012" t="s">
        <v>2168</v>
      </c>
      <c r="H289" s="971"/>
      <c r="I289" s="972"/>
      <c r="J289" s="972"/>
      <c r="K289" s="972"/>
      <c r="L289" s="153" t="str">
        <f t="shared" si="18"/>
        <v>5493</v>
      </c>
      <c r="M289" s="154" t="str">
        <f t="shared" si="19"/>
        <v>C/V - SOUS-TRAITANCE GARANTIE</v>
      </c>
      <c r="N289" s="155">
        <f>+IF(OR($Q289=Parametres!$G$2,$Q289=Parametres!$G$3),I289,C289)</f>
        <v>7190.66</v>
      </c>
      <c r="O289" s="575">
        <f>+IF(OR($Q289=Parametres!$G$2,$Q289=Parametres!$G$3),J289,D289)</f>
        <v>576.85</v>
      </c>
      <c r="P289" s="155">
        <f>+IF(OR($Q289=Parametres!$G$2,$Q289=Parametres!$G$3),K289,E289)</f>
        <v>7767.51</v>
      </c>
      <c r="Q289" s="154" t="str">
        <f t="shared" si="21"/>
        <v>6-Coût des ventes</v>
      </c>
      <c r="R289" s="153" t="str">
        <f t="shared" si="21"/>
        <v>4493</v>
      </c>
      <c r="S289" s="154">
        <f t="shared" si="21"/>
        <v>0</v>
      </c>
      <c r="T289" s="156" t="str">
        <f>+VLOOKUP($L289,Data_Validation!$A:$D,1,0)</f>
        <v>5493</v>
      </c>
      <c r="U289" s="156" t="str">
        <f>+VLOOKUP($L289,Data_Validation!$A:$D,3,0)</f>
        <v>Service</v>
      </c>
      <c r="V289" s="156" t="str">
        <f>+VLOOKUP($L289,Data_Validation!$A:$D,4,0)</f>
        <v>Sous-traitement</v>
      </c>
      <c r="W289" s="156" t="str">
        <f>+VLOOKUP($L289,Data_Validation!$A:$E,5,0)</f>
        <v>$</v>
      </c>
      <c r="X289" s="156">
        <f>+VLOOKUP($L289,Data_Validation!$A:$F,6,0)</f>
        <v>0</v>
      </c>
    </row>
    <row r="290" spans="1:24" ht="15" hidden="1" customHeight="1">
      <c r="A290" s="1012" t="s">
        <v>2789</v>
      </c>
      <c r="B290" s="1012" t="s">
        <v>2790</v>
      </c>
      <c r="C290" s="1014">
        <v>138521.09</v>
      </c>
      <c r="D290" s="1014">
        <v>22317.94</v>
      </c>
      <c r="E290" s="1014">
        <v>160839.03</v>
      </c>
      <c r="F290" s="1012" t="s">
        <v>424</v>
      </c>
      <c r="G290" s="1012" t="s">
        <v>2087</v>
      </c>
      <c r="H290" s="971"/>
      <c r="I290" s="972"/>
      <c r="J290" s="972"/>
      <c r="K290" s="972"/>
      <c r="L290" s="153" t="str">
        <f t="shared" si="18"/>
        <v>5495</v>
      </c>
      <c r="M290" s="154" t="str">
        <f t="shared" si="19"/>
        <v>C/V - SOUS-TRAITANCE INTERNE</v>
      </c>
      <c r="N290" s="155">
        <f>+IF(OR($Q290=Parametres!$G$2,$Q290=Parametres!$G$3),I290,C290)</f>
        <v>138521.09</v>
      </c>
      <c r="O290" s="575">
        <f>+IF(OR($Q290=Parametres!$G$2,$Q290=Parametres!$G$3),J290,D290)</f>
        <v>22317.94</v>
      </c>
      <c r="P290" s="155">
        <f>+IF(OR($Q290=Parametres!$G$2,$Q290=Parametres!$G$3),K290,E290)</f>
        <v>160839.03</v>
      </c>
      <c r="Q290" s="154" t="str">
        <f t="shared" ref="Q290:S305" si="22">+F290</f>
        <v>6-Coût des ventes</v>
      </c>
      <c r="R290" s="153" t="str">
        <f t="shared" si="22"/>
        <v>4495</v>
      </c>
      <c r="S290" s="154">
        <f t="shared" si="22"/>
        <v>0</v>
      </c>
      <c r="T290" s="156" t="str">
        <f>+VLOOKUP($L290,Data_Validation!$A:$D,1,0)</f>
        <v>5495</v>
      </c>
      <c r="U290" s="156" t="str">
        <f>+VLOOKUP($L290,Data_Validation!$A:$D,3,0)</f>
        <v>Service</v>
      </c>
      <c r="V290" s="156" t="str">
        <f>+VLOOKUP($L290,Data_Validation!$A:$D,4,0)</f>
        <v>Sous-traitement</v>
      </c>
      <c r="W290" s="156" t="str">
        <f>+VLOOKUP($L290,Data_Validation!$A:$E,5,0)</f>
        <v>$</v>
      </c>
      <c r="X290" s="156">
        <f>+VLOOKUP($L290,Data_Validation!$A:$F,6,0)</f>
        <v>0</v>
      </c>
    </row>
    <row r="291" spans="1:24" ht="15.75" hidden="1" customHeight="1">
      <c r="A291" s="1012" t="s">
        <v>2798</v>
      </c>
      <c r="B291" s="1012" t="s">
        <v>2799</v>
      </c>
      <c r="C291" s="1014">
        <v>145179.85999999999</v>
      </c>
      <c r="D291" s="1014">
        <v>38966.99</v>
      </c>
      <c r="E291" s="1014">
        <v>184146.85</v>
      </c>
      <c r="F291" s="1012" t="s">
        <v>424</v>
      </c>
      <c r="G291" s="1012" t="s">
        <v>2070</v>
      </c>
      <c r="H291" s="971"/>
      <c r="I291" s="972"/>
      <c r="J291" s="972"/>
      <c r="K291" s="972"/>
      <c r="L291" s="153" t="str">
        <f t="shared" si="18"/>
        <v>5591</v>
      </c>
      <c r="M291" s="154" t="str">
        <f t="shared" si="19"/>
        <v>C/V - S-TRAIT. CARR.</v>
      </c>
      <c r="N291" s="155">
        <f>+IF(OR($Q291=Parametres!$G$2,$Q291=Parametres!$G$3),I291,C291)</f>
        <v>145179.85999999999</v>
      </c>
      <c r="O291" s="575">
        <f>+IF(OR($Q291=Parametres!$G$2,$Q291=Parametres!$G$3),J291,D291)</f>
        <v>38966.99</v>
      </c>
      <c r="P291" s="155">
        <f>+IF(OR($Q291=Parametres!$G$2,$Q291=Parametres!$G$3),K291,E291)</f>
        <v>184146.85</v>
      </c>
      <c r="Q291" s="154" t="str">
        <f t="shared" si="22"/>
        <v>6-Coût des ventes</v>
      </c>
      <c r="R291" s="153" t="str">
        <f t="shared" si="22"/>
        <v>4591</v>
      </c>
      <c r="S291" s="154">
        <f t="shared" si="22"/>
        <v>0</v>
      </c>
      <c r="T291" s="156" t="str">
        <f>+VLOOKUP($L291,Data_Validation!$A:$D,1,0)</f>
        <v>5591</v>
      </c>
      <c r="U291" s="156" t="str">
        <f>+VLOOKUP($L291,Data_Validation!$A:$D,3,0)</f>
        <v>Carrosserie</v>
      </c>
      <c r="V291" s="156" t="str">
        <f>+VLOOKUP($L291,Data_Validation!$A:$D,4,0)</f>
        <v>M/O Sous-traitement</v>
      </c>
      <c r="W291" s="156" t="str">
        <f>+VLOOKUP($L291,Data_Validation!$A:$E,5,0)</f>
        <v>$</v>
      </c>
      <c r="X291" s="156">
        <f>+VLOOKUP($L291,Data_Validation!$A:$F,6,0)</f>
        <v>0</v>
      </c>
    </row>
    <row r="292" spans="1:24" ht="15" hidden="1" customHeight="1">
      <c r="A292" s="1012" t="s">
        <v>2808</v>
      </c>
      <c r="B292" s="1012" t="s">
        <v>2809</v>
      </c>
      <c r="C292" s="1014">
        <v>329884.34999999998</v>
      </c>
      <c r="D292" s="1014">
        <v>61036.87</v>
      </c>
      <c r="E292" s="1014">
        <v>390921.22</v>
      </c>
      <c r="F292" s="1012" t="s">
        <v>424</v>
      </c>
      <c r="G292" s="1012" t="s">
        <v>2068</v>
      </c>
      <c r="H292" s="971"/>
      <c r="I292" s="972"/>
      <c r="J292" s="972"/>
      <c r="K292" s="972"/>
      <c r="L292" s="153" t="str">
        <f t="shared" si="18"/>
        <v>5593</v>
      </c>
      <c r="M292" s="154" t="str">
        <f t="shared" si="19"/>
        <v>C/V - S-TRAIT.GARANTIE CARROS.</v>
      </c>
      <c r="N292" s="155">
        <f>+IF(OR($Q292=Parametres!$G$2,$Q292=Parametres!$G$3),I292,C292)</f>
        <v>329884.34999999998</v>
      </c>
      <c r="O292" s="155">
        <f>+IF(OR($Q292=Parametres!$G$2,$Q292=Parametres!$G$3),J292,D292)</f>
        <v>61036.87</v>
      </c>
      <c r="P292" s="155">
        <f>+IF(OR($Q292=Parametres!$G$2,$Q292=Parametres!$G$3),K292,E292)</f>
        <v>390921.22</v>
      </c>
      <c r="Q292" s="154" t="str">
        <f t="shared" si="22"/>
        <v>6-Coût des ventes</v>
      </c>
      <c r="R292" s="153" t="str">
        <f t="shared" si="22"/>
        <v>4593</v>
      </c>
      <c r="S292" s="154">
        <f t="shared" si="22"/>
        <v>0</v>
      </c>
      <c r="T292" s="156" t="str">
        <f>+VLOOKUP($L292,Data_Validation!$A:$D,1,0)</f>
        <v>5593</v>
      </c>
      <c r="U292" s="156" t="str">
        <f>+VLOOKUP($L292,Data_Validation!$A:$D,3,0)</f>
        <v>Carrosserie</v>
      </c>
      <c r="V292" s="156" t="str">
        <f>+VLOOKUP($L292,Data_Validation!$A:$D,4,0)</f>
        <v>M/O Sous-traitement</v>
      </c>
      <c r="W292" s="156" t="str">
        <f>+VLOOKUP($L292,Data_Validation!$A:$E,5,0)</f>
        <v>$</v>
      </c>
      <c r="X292" s="156">
        <f>+VLOOKUP($L292,Data_Validation!$A:$F,6,0)</f>
        <v>0</v>
      </c>
    </row>
    <row r="293" spans="1:24" ht="15" hidden="1" customHeight="1">
      <c r="A293" s="1012" t="s">
        <v>2767</v>
      </c>
      <c r="B293" s="1012" t="s">
        <v>2768</v>
      </c>
      <c r="C293" s="1014">
        <v>41993.19</v>
      </c>
      <c r="D293" s="1014">
        <v>7791.92</v>
      </c>
      <c r="E293" s="1014">
        <v>49785.11</v>
      </c>
      <c r="F293" s="1012" t="s">
        <v>424</v>
      </c>
      <c r="G293" s="1012" t="s">
        <v>2101</v>
      </c>
      <c r="H293" s="971"/>
      <c r="I293" s="972"/>
      <c r="J293" s="972"/>
      <c r="K293" s="972"/>
      <c r="L293" s="153" t="str">
        <f t="shared" si="18"/>
        <v>5595</v>
      </c>
      <c r="M293" s="154" t="str">
        <f t="shared" si="19"/>
        <v>C/V - S-TRAIT.INTERNE CARROS.</v>
      </c>
      <c r="N293" s="155">
        <f>+IF(OR($Q293=Parametres!$G$2,$Q293=Parametres!$G$3),I293,C293)</f>
        <v>41993.19</v>
      </c>
      <c r="O293" s="155">
        <f>+IF(OR($Q293=Parametres!$G$2,$Q293=Parametres!$G$3),J293,D293)</f>
        <v>7791.92</v>
      </c>
      <c r="P293" s="155">
        <f>+IF(OR($Q293=Parametres!$G$2,$Q293=Parametres!$G$3),K293,E293)</f>
        <v>49785.11</v>
      </c>
      <c r="Q293" s="154" t="str">
        <f t="shared" si="22"/>
        <v>6-Coût des ventes</v>
      </c>
      <c r="R293" s="153" t="str">
        <f t="shared" si="22"/>
        <v>4595</v>
      </c>
      <c r="S293" s="154">
        <f t="shared" si="22"/>
        <v>0</v>
      </c>
      <c r="T293" s="156" t="str">
        <f>+VLOOKUP($L293,Data_Validation!$A:$D,1,0)</f>
        <v>5595</v>
      </c>
      <c r="U293" s="156" t="str">
        <f>+VLOOKUP($L293,Data_Validation!$A:$D,3,0)</f>
        <v>Carrosserie</v>
      </c>
      <c r="V293" s="156" t="str">
        <f>+VLOOKUP($L293,Data_Validation!$A:$D,4,0)</f>
        <v>M/O Sous-traitement</v>
      </c>
      <c r="W293" s="156" t="str">
        <f>+VLOOKUP($L293,Data_Validation!$A:$E,5,0)</f>
        <v>$</v>
      </c>
      <c r="X293" s="156">
        <f>+VLOOKUP($L293,Data_Validation!$A:$F,6,0)</f>
        <v>0</v>
      </c>
    </row>
    <row r="294" spans="1:24" ht="15" hidden="1" customHeight="1">
      <c r="A294" s="1012" t="s">
        <v>2832</v>
      </c>
      <c r="B294" s="1012" t="s">
        <v>2833</v>
      </c>
      <c r="C294" s="1014">
        <v>226836.89</v>
      </c>
      <c r="D294" s="1014">
        <v>35121.32</v>
      </c>
      <c r="E294" s="1014">
        <v>261958.21</v>
      </c>
      <c r="F294" s="1012" t="s">
        <v>424</v>
      </c>
      <c r="G294" s="1012" t="s">
        <v>2024</v>
      </c>
      <c r="H294" s="971"/>
      <c r="I294" s="972"/>
      <c r="J294" s="972"/>
      <c r="K294" s="972"/>
      <c r="L294" s="153" t="str">
        <f t="shared" si="18"/>
        <v>5701</v>
      </c>
      <c r="M294" s="154" t="str">
        <f t="shared" si="19"/>
        <v>C/V - PIECE/ACC B.R. CLIENT VW</v>
      </c>
      <c r="N294" s="155">
        <f>+IF(OR($Q294=Parametres!$G$2,$Q294=Parametres!$G$3),I294,C294)</f>
        <v>226836.89</v>
      </c>
      <c r="O294" s="155">
        <f>+IF(OR($Q294=Parametres!$G$2,$Q294=Parametres!$G$3),J294,D294)</f>
        <v>35121.32</v>
      </c>
      <c r="P294" s="155">
        <f>+IF(OR($Q294=Parametres!$G$2,$Q294=Parametres!$G$3),K294,E294)</f>
        <v>261958.21</v>
      </c>
      <c r="Q294" s="154" t="str">
        <f t="shared" si="22"/>
        <v>6-Coût des ventes</v>
      </c>
      <c r="R294" s="153" t="str">
        <f t="shared" si="22"/>
        <v>4701</v>
      </c>
      <c r="S294" s="154">
        <f t="shared" si="22"/>
        <v>0</v>
      </c>
      <c r="T294" s="156" t="str">
        <f>+VLOOKUP($L294,Data_Validation!$A:$D,1,0)</f>
        <v>5701</v>
      </c>
      <c r="U294" s="156" t="str">
        <f>+VLOOKUP($L294,Data_Validation!$A:$D,3,0)</f>
        <v>Pièces</v>
      </c>
      <c r="V294" s="156" t="str">
        <f>+VLOOKUP($L294,Data_Validation!$A:$D,4,0)</f>
        <v>Pièces Ro Clients</v>
      </c>
      <c r="W294" s="156" t="str">
        <f>+VLOOKUP($L294,Data_Validation!$A:$E,5,0)</f>
        <v>$</v>
      </c>
      <c r="X294" s="156">
        <f>+VLOOKUP($L294,Data_Validation!$A:$F,6,0)</f>
        <v>0</v>
      </c>
    </row>
    <row r="295" spans="1:24" ht="15" hidden="1" customHeight="1">
      <c r="A295" s="1012" t="s">
        <v>2814</v>
      </c>
      <c r="B295" s="1012" t="s">
        <v>2815</v>
      </c>
      <c r="C295" s="1014">
        <v>391015.35</v>
      </c>
      <c r="D295" s="1014">
        <v>64427.040000000001</v>
      </c>
      <c r="E295" s="1014">
        <v>455442.39</v>
      </c>
      <c r="F295" s="1012" t="s">
        <v>424</v>
      </c>
      <c r="G295" s="1012" t="s">
        <v>2044</v>
      </c>
      <c r="H295" s="971"/>
      <c r="I295" s="972"/>
      <c r="J295" s="972"/>
      <c r="K295" s="972"/>
      <c r="L295" s="153" t="str">
        <f t="shared" si="18"/>
        <v>5703</v>
      </c>
      <c r="M295" s="154" t="str">
        <f t="shared" si="19"/>
        <v>C/V - PIECE/ACC B.R. GARANTIE VW</v>
      </c>
      <c r="N295" s="155">
        <f>+IF(OR($Q295=Parametres!$G$2,$Q295=Parametres!$G$3),I295,C295)</f>
        <v>391015.35</v>
      </c>
      <c r="O295" s="155">
        <f>+IF(OR($Q295=Parametres!$G$2,$Q295=Parametres!$G$3),J295,D295)</f>
        <v>64427.040000000001</v>
      </c>
      <c r="P295" s="155">
        <f>+IF(OR($Q295=Parametres!$G$2,$Q295=Parametres!$G$3),K295,E295)</f>
        <v>455442.39</v>
      </c>
      <c r="Q295" s="154" t="str">
        <f t="shared" si="22"/>
        <v>6-Coût des ventes</v>
      </c>
      <c r="R295" s="153" t="str">
        <f t="shared" si="22"/>
        <v>4703</v>
      </c>
      <c r="S295" s="154">
        <f t="shared" si="22"/>
        <v>0</v>
      </c>
      <c r="T295" s="156" t="str">
        <f>+VLOOKUP($L295,Data_Validation!$A:$D,1,0)</f>
        <v>5703</v>
      </c>
      <c r="U295" s="156" t="str">
        <f>+VLOOKUP($L295,Data_Validation!$A:$D,3,0)</f>
        <v>Pièces</v>
      </c>
      <c r="V295" s="156" t="str">
        <f>+VLOOKUP($L295,Data_Validation!$A:$D,4,0)</f>
        <v>P/A Garantie</v>
      </c>
      <c r="W295" s="156" t="str">
        <f>+VLOOKUP($L295,Data_Validation!$A:$E,5,0)</f>
        <v>$</v>
      </c>
      <c r="X295" s="156">
        <f>+VLOOKUP($L295,Data_Validation!$A:$F,6,0)</f>
        <v>0</v>
      </c>
    </row>
    <row r="296" spans="1:24" ht="15" hidden="1" customHeight="1">
      <c r="A296" s="1012" t="s">
        <v>2811</v>
      </c>
      <c r="B296" s="1012" t="s">
        <v>2812</v>
      </c>
      <c r="C296" s="1014">
        <v>166749.59</v>
      </c>
      <c r="D296" s="1014">
        <v>42176.24</v>
      </c>
      <c r="E296" s="1014">
        <v>208925.83</v>
      </c>
      <c r="F296" s="1012" t="s">
        <v>424</v>
      </c>
      <c r="G296" s="1012" t="s">
        <v>2048</v>
      </c>
      <c r="H296" s="971"/>
      <c r="I296" s="972"/>
      <c r="J296" s="972"/>
      <c r="K296" s="972"/>
      <c r="L296" s="153" t="str">
        <f t="shared" si="18"/>
        <v>5705</v>
      </c>
      <c r="M296" s="154" t="str">
        <f t="shared" si="19"/>
        <v>C/V - PIECE/ACC B.R. INTERNE VW</v>
      </c>
      <c r="N296" s="155">
        <f>+IF(OR($Q296=Parametres!$G$2,$Q296=Parametres!$G$3),I296,C296)</f>
        <v>166749.59</v>
      </c>
      <c r="O296" s="155">
        <f>+IF(OR($Q296=Parametres!$G$2,$Q296=Parametres!$G$3),J296,D296)</f>
        <v>42176.24</v>
      </c>
      <c r="P296" s="155">
        <f>+IF(OR($Q296=Parametres!$G$2,$Q296=Parametres!$G$3),K296,E296)</f>
        <v>208925.83</v>
      </c>
      <c r="Q296" s="154" t="str">
        <f t="shared" si="22"/>
        <v>6-Coût des ventes</v>
      </c>
      <c r="R296" s="153" t="str">
        <f t="shared" si="22"/>
        <v>4705</v>
      </c>
      <c r="S296" s="154">
        <f t="shared" si="22"/>
        <v>0</v>
      </c>
      <c r="T296" s="156" t="str">
        <f>+VLOOKUP($L296,Data_Validation!$A:$D,1,0)</f>
        <v>5705</v>
      </c>
      <c r="U296" s="156" t="str">
        <f>+VLOOKUP($L296,Data_Validation!$A:$D,3,0)</f>
        <v>Pièces</v>
      </c>
      <c r="V296" s="156" t="str">
        <f>+VLOOKUP($L296,Data_Validation!$A:$D,4,0)</f>
        <v>Ventes Internes</v>
      </c>
      <c r="W296" s="156" t="str">
        <f>+VLOOKUP($L296,Data_Validation!$A:$E,5,0)</f>
        <v>$</v>
      </c>
      <c r="X296" s="156">
        <f>+VLOOKUP($L296,Data_Validation!$A:$F,6,0)</f>
        <v>0</v>
      </c>
    </row>
    <row r="297" spans="1:24" ht="15.75" hidden="1" customHeight="1">
      <c r="A297" s="1012" t="s">
        <v>2460</v>
      </c>
      <c r="B297" s="1012" t="s">
        <v>2728</v>
      </c>
      <c r="C297" s="1014">
        <v>13299.26</v>
      </c>
      <c r="D297" s="1014">
        <v>1585.9</v>
      </c>
      <c r="E297" s="1014">
        <v>14885.16</v>
      </c>
      <c r="F297" s="1012" t="s">
        <v>424</v>
      </c>
      <c r="G297" s="1012" t="s">
        <v>2115</v>
      </c>
      <c r="H297" s="971"/>
      <c r="I297" s="972"/>
      <c r="J297" s="972"/>
      <c r="K297" s="972"/>
      <c r="L297" s="153" t="str">
        <f t="shared" si="18"/>
        <v>5711</v>
      </c>
      <c r="M297" s="154" t="str">
        <f t="shared" si="19"/>
        <v>C/V - AUTRE PIECE/ACC/CARR B.R. CLIENT</v>
      </c>
      <c r="N297" s="155">
        <f>+IF(OR($Q297=Parametres!$G$2,$Q297=Parametres!$G$3),I297,C297)</f>
        <v>13299.26</v>
      </c>
      <c r="O297" s="155">
        <f>+IF(OR($Q297=Parametres!$G$2,$Q297=Parametres!$G$3),J297,D297)</f>
        <v>1585.9</v>
      </c>
      <c r="P297" s="155">
        <f>+IF(OR($Q297=Parametres!$G$2,$Q297=Parametres!$G$3),K297,E297)</f>
        <v>14885.16</v>
      </c>
      <c r="Q297" s="154" t="str">
        <f t="shared" si="22"/>
        <v>6-Coût des ventes</v>
      </c>
      <c r="R297" s="153" t="str">
        <f t="shared" si="22"/>
        <v>4711</v>
      </c>
      <c r="S297" s="154">
        <f t="shared" si="22"/>
        <v>0</v>
      </c>
      <c r="T297" s="156" t="str">
        <f>+VLOOKUP($L297,Data_Validation!$A:$D,1,0)</f>
        <v>5711</v>
      </c>
      <c r="U297" s="156" t="str">
        <f>+VLOOKUP($L297,Data_Validation!$A:$D,3,0)</f>
        <v>Pièces</v>
      </c>
      <c r="V297" s="156" t="str">
        <f>+VLOOKUP($L297,Data_Validation!$A:$D,4,0)</f>
        <v>Pièces Ro Clients</v>
      </c>
      <c r="W297" s="156" t="str">
        <f>+VLOOKUP($L297,Data_Validation!$A:$E,5,0)</f>
        <v>$</v>
      </c>
      <c r="X297" s="156">
        <f>+VLOOKUP($L297,Data_Validation!$A:$F,6,0)</f>
        <v>0</v>
      </c>
    </row>
    <row r="298" spans="1:24" ht="15" hidden="1" customHeight="1">
      <c r="A298" s="1012" t="s">
        <v>2460</v>
      </c>
      <c r="B298" s="1012" t="s">
        <v>2461</v>
      </c>
      <c r="C298" s="1014">
        <v>41596.050000000003</v>
      </c>
      <c r="D298" s="1014">
        <v>16803.36</v>
      </c>
      <c r="E298" s="1014">
        <v>58399.41</v>
      </c>
      <c r="F298" s="1012" t="s">
        <v>424</v>
      </c>
      <c r="G298" s="1012" t="s">
        <v>2445</v>
      </c>
      <c r="H298" s="971"/>
      <c r="I298" s="972"/>
      <c r="J298" s="972"/>
      <c r="K298" s="972"/>
      <c r="L298" s="153" t="str">
        <f t="shared" si="18"/>
        <v>5721</v>
      </c>
      <c r="M298" s="154" t="str">
        <f t="shared" si="19"/>
        <v>C/V - AUTRE PIECE/ACC/CARR B.R. CLIENT</v>
      </c>
      <c r="N298" s="155">
        <f>+IF(OR($Q298=Parametres!$G$2,$Q298=Parametres!$G$3),I298,C298)</f>
        <v>41596.050000000003</v>
      </c>
      <c r="O298" s="155">
        <f>+IF(OR($Q298=Parametres!$G$2,$Q298=Parametres!$G$3),J298,D298)</f>
        <v>16803.36</v>
      </c>
      <c r="P298" s="155">
        <f>+IF(OR($Q298=Parametres!$G$2,$Q298=Parametres!$G$3),K298,E298)</f>
        <v>58399.41</v>
      </c>
      <c r="Q298" s="154" t="str">
        <f t="shared" si="22"/>
        <v>6-Coût des ventes</v>
      </c>
      <c r="R298" s="153" t="str">
        <f t="shared" si="22"/>
        <v>4721</v>
      </c>
      <c r="S298" s="154">
        <f t="shared" si="22"/>
        <v>0</v>
      </c>
      <c r="T298" s="156" t="str">
        <f>+VLOOKUP($L298,Data_Validation!$A:$D,1,0)</f>
        <v>5721</v>
      </c>
      <c r="U298" s="156" t="str">
        <f>+VLOOKUP($L298,Data_Validation!$A:$D,3,0)</f>
        <v>Pièces</v>
      </c>
      <c r="V298" s="156" t="str">
        <f>+VLOOKUP($L298,Data_Validation!$A:$D,4,0)</f>
        <v>Pièces Ro Clients</v>
      </c>
      <c r="W298" s="156" t="str">
        <f>+VLOOKUP($L298,Data_Validation!$A:$E,5,0)</f>
        <v>$</v>
      </c>
      <c r="X298" s="156">
        <f>+VLOOKUP($L298,Data_Validation!$A:$F,6,0)</f>
        <v>0</v>
      </c>
    </row>
    <row r="299" spans="1:24" ht="15" hidden="1" customHeight="1">
      <c r="A299" s="1012" t="s">
        <v>2754</v>
      </c>
      <c r="B299" s="1012" t="s">
        <v>2755</v>
      </c>
      <c r="C299" s="1014">
        <v>79058.3</v>
      </c>
      <c r="D299" s="1014">
        <v>24474.1</v>
      </c>
      <c r="E299" s="1014">
        <v>103532.4</v>
      </c>
      <c r="F299" s="1012" t="s">
        <v>424</v>
      </c>
      <c r="G299" s="1012" t="s">
        <v>2108</v>
      </c>
      <c r="H299" s="971"/>
      <c r="I299" s="972"/>
      <c r="J299" s="972"/>
      <c r="K299" s="972"/>
      <c r="L299" s="153" t="str">
        <f t="shared" si="18"/>
        <v>5731</v>
      </c>
      <c r="M299" s="154" t="str">
        <f t="shared" si="19"/>
        <v>C/V - PIECES-BON REPAR.-PEINT/DEBOS</v>
      </c>
      <c r="N299" s="155">
        <f>+IF(OR($Q299=Parametres!$G$2,$Q299=Parametres!$G$3),I299,C299)</f>
        <v>79058.3</v>
      </c>
      <c r="O299" s="155">
        <f>+IF(OR($Q299=Parametres!$G$2,$Q299=Parametres!$G$3),J299,D299)</f>
        <v>24474.1</v>
      </c>
      <c r="P299" s="155">
        <f>+IF(OR($Q299=Parametres!$G$2,$Q299=Parametres!$G$3),K299,E299)</f>
        <v>103532.4</v>
      </c>
      <c r="Q299" s="154" t="str">
        <f t="shared" si="22"/>
        <v>6-Coût des ventes</v>
      </c>
      <c r="R299" s="153" t="str">
        <f t="shared" si="22"/>
        <v>4731</v>
      </c>
      <c r="S299" s="154">
        <f t="shared" si="22"/>
        <v>0</v>
      </c>
      <c r="T299" s="156" t="str">
        <f>+VLOOKUP($L299,Data_Validation!$A:$D,1,0)</f>
        <v>5731</v>
      </c>
      <c r="U299" s="156" t="str">
        <f>+VLOOKUP($L299,Data_Validation!$A:$D,3,0)</f>
        <v>Pièces</v>
      </c>
      <c r="V299" s="156" t="str">
        <f>+VLOOKUP($L299,Data_Validation!$A:$D,4,0)</f>
        <v>Pièces Ro Carrosserie</v>
      </c>
      <c r="W299" s="156" t="str">
        <f>+VLOOKUP($L299,Data_Validation!$A:$E,5,0)</f>
        <v>$</v>
      </c>
      <c r="X299" s="156">
        <f>+VLOOKUP($L299,Data_Validation!$A:$F,6,0)</f>
        <v>0</v>
      </c>
    </row>
    <row r="300" spans="1:24" ht="15" hidden="1" customHeight="1">
      <c r="A300" s="1012" t="s">
        <v>2787</v>
      </c>
      <c r="B300" s="1012" t="s">
        <v>2788</v>
      </c>
      <c r="C300" s="1014">
        <v>192751.45</v>
      </c>
      <c r="D300" s="1014">
        <v>33461.980000000003</v>
      </c>
      <c r="E300" s="1014">
        <v>226213.43</v>
      </c>
      <c r="F300" s="1012" t="s">
        <v>424</v>
      </c>
      <c r="G300" s="1012" t="s">
        <v>2091</v>
      </c>
      <c r="H300" s="971"/>
      <c r="I300" s="972"/>
      <c r="J300" s="972"/>
      <c r="K300" s="972"/>
      <c r="L300" s="153" t="str">
        <f t="shared" si="18"/>
        <v>5733</v>
      </c>
      <c r="M300" s="154" t="str">
        <f t="shared" si="19"/>
        <v>C/V - P&amp;A B.T. GAR.CARR.VW</v>
      </c>
      <c r="N300" s="155">
        <f>+IF(OR($Q300=Parametres!$G$2,$Q300=Parametres!$G$3),I300,C300)</f>
        <v>192751.45</v>
      </c>
      <c r="O300" s="155">
        <f>+IF(OR($Q300=Parametres!$G$2,$Q300=Parametres!$G$3),J300,D300)</f>
        <v>33461.980000000003</v>
      </c>
      <c r="P300" s="155">
        <f>+IF(OR($Q300=Parametres!$G$2,$Q300=Parametres!$G$3),K300,E300)</f>
        <v>226213.43</v>
      </c>
      <c r="Q300" s="154" t="str">
        <f t="shared" si="22"/>
        <v>6-Coût des ventes</v>
      </c>
      <c r="R300" s="153" t="str">
        <f t="shared" si="22"/>
        <v>4733</v>
      </c>
      <c r="S300" s="154">
        <f t="shared" si="22"/>
        <v>0</v>
      </c>
      <c r="T300" s="156" t="str">
        <f>+VLOOKUP($L300,Data_Validation!$A:$D,1,0)</f>
        <v>5733</v>
      </c>
      <c r="U300" s="156" t="str">
        <f>+VLOOKUP($L300,Data_Validation!$A:$D,3,0)</f>
        <v>Pièces</v>
      </c>
      <c r="V300" s="156" t="str">
        <f>+VLOOKUP($L300,Data_Validation!$A:$D,4,0)</f>
        <v>Pièces Ro Carrosserie</v>
      </c>
      <c r="W300" s="156" t="str">
        <f>+VLOOKUP($L300,Data_Validation!$A:$E,5,0)</f>
        <v>$</v>
      </c>
      <c r="X300" s="156">
        <f>+VLOOKUP($L300,Data_Validation!$A:$F,6,0)</f>
        <v>0</v>
      </c>
    </row>
    <row r="301" spans="1:24" ht="15.75" hidden="1" customHeight="1">
      <c r="A301" s="1012" t="s">
        <v>2668</v>
      </c>
      <c r="B301" s="1012" t="s">
        <v>2669</v>
      </c>
      <c r="C301" s="1014">
        <v>4941.57</v>
      </c>
      <c r="D301" s="1014">
        <v>1102.29</v>
      </c>
      <c r="E301" s="1014">
        <v>6043.86</v>
      </c>
      <c r="F301" s="1012" t="s">
        <v>424</v>
      </c>
      <c r="G301" s="1012" t="s">
        <v>2166</v>
      </c>
      <c r="H301" s="971"/>
      <c r="I301" s="972"/>
      <c r="J301" s="972"/>
      <c r="K301" s="972"/>
      <c r="L301" s="153" t="str">
        <f t="shared" si="18"/>
        <v>5735</v>
      </c>
      <c r="M301" s="154" t="str">
        <f t="shared" si="19"/>
        <v>C/V - P&amp;A B.T.INTERNE CARR.VW</v>
      </c>
      <c r="N301" s="155">
        <f>+IF(OR($Q301=Parametres!$G$2,$Q301=Parametres!$G$3),I301,C301)</f>
        <v>4941.57</v>
      </c>
      <c r="O301" s="155">
        <f>+IF(OR($Q301=Parametres!$G$2,$Q301=Parametres!$G$3),J301,D301)</f>
        <v>1102.29</v>
      </c>
      <c r="P301" s="155">
        <f>+IF(OR($Q301=Parametres!$G$2,$Q301=Parametres!$G$3),K301,E301)</f>
        <v>6043.86</v>
      </c>
      <c r="Q301" s="154" t="str">
        <f t="shared" si="22"/>
        <v>6-Coût des ventes</v>
      </c>
      <c r="R301" s="153" t="str">
        <f t="shared" si="22"/>
        <v>4735</v>
      </c>
      <c r="S301" s="154">
        <f t="shared" si="22"/>
        <v>0</v>
      </c>
      <c r="T301" s="156" t="str">
        <f>+VLOOKUP($L301,Data_Validation!$A:$D,1,0)</f>
        <v>5735</v>
      </c>
      <c r="U301" s="156" t="str">
        <f>+VLOOKUP($L301,Data_Validation!$A:$D,3,0)</f>
        <v>Pièces</v>
      </c>
      <c r="V301" s="156" t="str">
        <f>+VLOOKUP($L301,Data_Validation!$A:$D,4,0)</f>
        <v>Pièces Ro Carrosserie</v>
      </c>
      <c r="W301" s="156" t="str">
        <f>+VLOOKUP($L301,Data_Validation!$A:$E,5,0)</f>
        <v>$</v>
      </c>
      <c r="X301" s="156">
        <f>+VLOOKUP($L301,Data_Validation!$A:$F,6,0)</f>
        <v>0</v>
      </c>
    </row>
    <row r="302" spans="1:24" ht="15" hidden="1" customHeight="1">
      <c r="A302" s="1012" t="s">
        <v>2794</v>
      </c>
      <c r="B302" s="1012" t="s">
        <v>2795</v>
      </c>
      <c r="C302" s="1014">
        <v>50239.78</v>
      </c>
      <c r="D302" s="1014">
        <v>10749.23</v>
      </c>
      <c r="E302" s="1014">
        <v>60989.01</v>
      </c>
      <c r="F302" s="1012" t="s">
        <v>424</v>
      </c>
      <c r="G302" s="1012" t="s">
        <v>2083</v>
      </c>
      <c r="H302" s="971"/>
      <c r="I302" s="972"/>
      <c r="J302" s="972"/>
      <c r="K302" s="972"/>
      <c r="L302" s="153" t="str">
        <f t="shared" si="18"/>
        <v>5761</v>
      </c>
      <c r="M302" s="154" t="str">
        <f t="shared" si="19"/>
        <v>C/V - P&amp;A VW COMPTOIR - DETAIL</v>
      </c>
      <c r="N302" s="155">
        <f>+IF(OR($Q302=Parametres!$G$2,$Q302=Parametres!$G$3),I302,C302)</f>
        <v>50239.78</v>
      </c>
      <c r="O302" s="155">
        <f>+IF(OR($Q302=Parametres!$G$2,$Q302=Parametres!$G$3),J302,D302)</f>
        <v>10749.23</v>
      </c>
      <c r="P302" s="155">
        <f>+IF(OR($Q302=Parametres!$G$2,$Q302=Parametres!$G$3),K302,E302)</f>
        <v>60989.01</v>
      </c>
      <c r="Q302" s="154" t="str">
        <f t="shared" si="22"/>
        <v>6-Coût des ventes</v>
      </c>
      <c r="R302" s="153" t="str">
        <f t="shared" si="22"/>
        <v>4761</v>
      </c>
      <c r="S302" s="154">
        <f t="shared" si="22"/>
        <v>0</v>
      </c>
      <c r="T302" s="156" t="str">
        <f>+VLOOKUP($L302,Data_Validation!$A:$D,1,0)</f>
        <v>5761</v>
      </c>
      <c r="U302" s="156" t="str">
        <f>+VLOOKUP($L302,Data_Validation!$A:$D,3,0)</f>
        <v>Pièces</v>
      </c>
      <c r="V302" s="156" t="str">
        <f>+VLOOKUP($L302,Data_Validation!$A:$D,4,0)</f>
        <v>Ventes Détails</v>
      </c>
      <c r="W302" s="156" t="str">
        <f>+VLOOKUP($L302,Data_Validation!$A:$E,5,0)</f>
        <v>$</v>
      </c>
      <c r="X302" s="156">
        <f>+VLOOKUP($L302,Data_Validation!$A:$F,6,0)</f>
        <v>0</v>
      </c>
    </row>
    <row r="303" spans="1:24" ht="15" hidden="1" customHeight="1">
      <c r="A303" s="1012" t="s">
        <v>2816</v>
      </c>
      <c r="B303" s="1012" t="s">
        <v>2817</v>
      </c>
      <c r="C303" s="1014">
        <v>238806.51</v>
      </c>
      <c r="D303" s="1014">
        <v>41771.65</v>
      </c>
      <c r="E303" s="1014">
        <v>280578.15999999997</v>
      </c>
      <c r="F303" s="1012" t="s">
        <v>424</v>
      </c>
      <c r="G303" s="1012" t="s">
        <v>2046</v>
      </c>
      <c r="H303" s="971"/>
      <c r="I303" s="972"/>
      <c r="J303" s="972"/>
      <c r="K303" s="972"/>
      <c r="L303" s="153" t="str">
        <f t="shared" si="18"/>
        <v>5763</v>
      </c>
      <c r="M303" s="154" t="str">
        <f t="shared" si="19"/>
        <v>C/V - P&amp;A VW COMPTOIR GROS - ECHANGE</v>
      </c>
      <c r="N303" s="155">
        <f>+IF(OR($Q303=Parametres!$G$2,$Q303=Parametres!$G$3),I303,C303)</f>
        <v>238806.51</v>
      </c>
      <c r="O303" s="155">
        <f>+IF(OR($Q303=Parametres!$G$2,$Q303=Parametres!$G$3),J303,D303)</f>
        <v>41771.65</v>
      </c>
      <c r="P303" s="155">
        <f>+IF(OR($Q303=Parametres!$G$2,$Q303=Parametres!$G$3),K303,E303)</f>
        <v>280578.15999999997</v>
      </c>
      <c r="Q303" s="154" t="str">
        <f t="shared" si="22"/>
        <v>6-Coût des ventes</v>
      </c>
      <c r="R303" s="153" t="str">
        <f t="shared" si="22"/>
        <v>4763</v>
      </c>
      <c r="S303" s="154">
        <f t="shared" si="22"/>
        <v>0</v>
      </c>
      <c r="T303" s="156" t="str">
        <f>+VLOOKUP($L303,Data_Validation!$A:$D,1,0)</f>
        <v>5763</v>
      </c>
      <c r="U303" s="156" t="str">
        <f>+VLOOKUP($L303,Data_Validation!$A:$D,3,0)</f>
        <v>Pièces</v>
      </c>
      <c r="V303" s="156" t="str">
        <f>+VLOOKUP($L303,Data_Validation!$A:$D,4,0)</f>
        <v>Ventes de Gros</v>
      </c>
      <c r="W303" s="156" t="str">
        <f>+VLOOKUP($L303,Data_Validation!$A:$E,5,0)</f>
        <v>$</v>
      </c>
      <c r="X303" s="156">
        <f>+VLOOKUP($L303,Data_Validation!$A:$F,6,0)</f>
        <v>0</v>
      </c>
    </row>
    <row r="304" spans="1:24" ht="15" hidden="1" customHeight="1">
      <c r="A304" s="1012" t="s">
        <v>2820</v>
      </c>
      <c r="B304" s="1012" t="s">
        <v>2821</v>
      </c>
      <c r="C304" s="1014">
        <v>151554.70000000001</v>
      </c>
      <c r="D304" s="1014">
        <v>12538.84</v>
      </c>
      <c r="E304" s="1014">
        <v>164093.54</v>
      </c>
      <c r="F304" s="1012" t="s">
        <v>424</v>
      </c>
      <c r="G304" s="1012" t="s">
        <v>2035</v>
      </c>
      <c r="H304" s="971"/>
      <c r="I304" s="972"/>
      <c r="J304" s="972"/>
      <c r="K304" s="972"/>
      <c r="L304" s="153" t="str">
        <f t="shared" si="18"/>
        <v>5781</v>
      </c>
      <c r="M304" s="154" t="str">
        <f t="shared" si="19"/>
        <v>COUT PNEUS</v>
      </c>
      <c r="N304" s="155">
        <f>+IF(OR($Q304=Parametres!$G$2,$Q304=Parametres!$G$3),I304,C304)</f>
        <v>151554.70000000001</v>
      </c>
      <c r="O304" s="155">
        <f>+IF(OR($Q304=Parametres!$G$2,$Q304=Parametres!$G$3),J304,D304)</f>
        <v>12538.84</v>
      </c>
      <c r="P304" s="155">
        <f>+IF(OR($Q304=Parametres!$G$2,$Q304=Parametres!$G$3),K304,E304)</f>
        <v>164093.54</v>
      </c>
      <c r="Q304" s="154" t="str">
        <f t="shared" si="22"/>
        <v>6-Coût des ventes</v>
      </c>
      <c r="R304" s="153" t="str">
        <f t="shared" si="22"/>
        <v>4781</v>
      </c>
      <c r="S304" s="154">
        <f t="shared" si="22"/>
        <v>0</v>
      </c>
      <c r="T304" s="156" t="str">
        <f>+VLOOKUP($L304,Data_Validation!$A:$D,1,0)</f>
        <v>5781</v>
      </c>
      <c r="U304" s="156" t="str">
        <f>+VLOOKUP($L304,Data_Validation!$A:$D,3,0)</f>
        <v>Pièces</v>
      </c>
      <c r="V304" s="156" t="str">
        <f>+VLOOKUP($L304,Data_Validation!$A:$D,4,0)</f>
        <v>Ventes Pneus</v>
      </c>
      <c r="W304" s="156" t="str">
        <f>+VLOOKUP($L304,Data_Validation!$A:$E,5,0)</f>
        <v>$</v>
      </c>
      <c r="X304" s="156">
        <f>+VLOOKUP($L304,Data_Validation!$A:$F,6,0)</f>
        <v>0</v>
      </c>
    </row>
    <row r="305" spans="1:24" ht="15.75" hidden="1" customHeight="1">
      <c r="A305" s="1012" t="s">
        <v>2729</v>
      </c>
      <c r="B305" s="1012" t="s">
        <v>2730</v>
      </c>
      <c r="C305" s="1014">
        <v>912.78</v>
      </c>
      <c r="D305" s="1014">
        <v>639.45000000000005</v>
      </c>
      <c r="E305" s="1014">
        <v>1552.23</v>
      </c>
      <c r="F305" s="1012" t="s">
        <v>424</v>
      </c>
      <c r="G305" s="1012" t="s">
        <v>2035</v>
      </c>
      <c r="H305" s="971"/>
      <c r="I305" s="972"/>
      <c r="J305" s="972"/>
      <c r="K305" s="972"/>
      <c r="L305" s="153" t="str">
        <f t="shared" si="18"/>
        <v>5785</v>
      </c>
      <c r="M305" s="154" t="str">
        <f t="shared" si="19"/>
        <v>C/V - VW PNEUS</v>
      </c>
      <c r="N305" s="155">
        <f>+IF(OR($Q305=Parametres!$G$2,$Q305=Parametres!$G$3),I305,C305)</f>
        <v>912.78</v>
      </c>
      <c r="O305" s="155">
        <f>+IF(OR($Q305=Parametres!$G$2,$Q305=Parametres!$G$3),J305,D305)</f>
        <v>639.45000000000005</v>
      </c>
      <c r="P305" s="155">
        <f>+IF(OR($Q305=Parametres!$G$2,$Q305=Parametres!$G$3),K305,E305)</f>
        <v>1552.23</v>
      </c>
      <c r="Q305" s="154" t="str">
        <f t="shared" si="22"/>
        <v>6-Coût des ventes</v>
      </c>
      <c r="R305" s="153" t="str">
        <f t="shared" si="22"/>
        <v>4781</v>
      </c>
      <c r="S305" s="154">
        <f t="shared" si="22"/>
        <v>0</v>
      </c>
      <c r="T305" s="156" t="str">
        <f>+VLOOKUP($L305,Data_Validation!$A:$D,1,0)</f>
        <v>5785</v>
      </c>
      <c r="U305" s="156" t="str">
        <f>+VLOOKUP($L305,Data_Validation!$A:$D,3,0)</f>
        <v>Pièces</v>
      </c>
      <c r="V305" s="156" t="str">
        <f>+VLOOKUP($L305,Data_Validation!$A:$D,4,0)</f>
        <v>Ventes Pneus</v>
      </c>
      <c r="W305" s="156" t="str">
        <f>+VLOOKUP($L305,Data_Validation!$A:$E,5,0)</f>
        <v>$</v>
      </c>
      <c r="X305" s="156">
        <f>+VLOOKUP($L305,Data_Validation!$A:$F,6,0)</f>
        <v>0</v>
      </c>
    </row>
    <row r="306" spans="1:24" ht="15" hidden="1" customHeight="1">
      <c r="A306" s="1012" t="s">
        <v>2135</v>
      </c>
      <c r="B306" s="1012" t="s">
        <v>2136</v>
      </c>
      <c r="C306" s="1014">
        <v>-52723.96</v>
      </c>
      <c r="D306" s="1014">
        <v>-7615.47</v>
      </c>
      <c r="E306" s="1014">
        <v>-60339.43</v>
      </c>
      <c r="F306" s="1012" t="s">
        <v>424</v>
      </c>
      <c r="G306" s="1012" t="s">
        <v>2137</v>
      </c>
      <c r="H306" s="971"/>
      <c r="I306" s="972"/>
      <c r="J306" s="972"/>
      <c r="K306" s="972"/>
      <c r="L306" s="153" t="str">
        <f t="shared" si="18"/>
        <v>5796</v>
      </c>
      <c r="M306" s="154" t="str">
        <f t="shared" si="19"/>
        <v>C/V - BONI / ESCPTE PI VW</v>
      </c>
      <c r="N306" s="155">
        <f>+IF(OR($Q306=Parametres!$G$2,$Q306=Parametres!$G$3),I306,C306)</f>
        <v>-52723.96</v>
      </c>
      <c r="O306" s="155">
        <f>+IF(OR($Q306=Parametres!$G$2,$Q306=Parametres!$G$3),J306,D306)</f>
        <v>-7615.47</v>
      </c>
      <c r="P306" s="155">
        <f>+IF(OR($Q306=Parametres!$G$2,$Q306=Parametres!$G$3),K306,E306)</f>
        <v>-60339.43</v>
      </c>
      <c r="Q306" s="154" t="str">
        <f t="shared" ref="Q306:S321" si="23">+F306</f>
        <v>6-Coût des ventes</v>
      </c>
      <c r="R306" s="153" t="str">
        <f t="shared" si="23"/>
        <v>5792</v>
      </c>
      <c r="S306" s="154">
        <f t="shared" si="23"/>
        <v>0</v>
      </c>
      <c r="T306" s="156" t="str">
        <f>+VLOOKUP($L306,Data_Validation!$A:$D,1,0)</f>
        <v>5796</v>
      </c>
      <c r="U306" s="156" t="str">
        <f>+VLOOKUP($L306,Data_Validation!$A:$D,3,0)</f>
        <v>Pièces</v>
      </c>
      <c r="V306" s="156" t="str">
        <f>+VLOOKUP($L306,Data_Validation!$A:$D,4,0)</f>
        <v>Escomptes</v>
      </c>
      <c r="W306" s="156" t="str">
        <f>+VLOOKUP($L306,Data_Validation!$A:$E,5,0)</f>
        <v>$</v>
      </c>
      <c r="X306" s="156">
        <f>+VLOOKUP($L306,Data_Validation!$A:$F,6,0)</f>
        <v>0</v>
      </c>
    </row>
    <row r="307" spans="1:24" ht="15" hidden="1" customHeight="1">
      <c r="A307" s="1012" t="s">
        <v>1523</v>
      </c>
      <c r="B307" s="1012" t="s">
        <v>2781</v>
      </c>
      <c r="C307" s="1014">
        <v>185048.78</v>
      </c>
      <c r="D307" s="1014">
        <v>37735.24</v>
      </c>
      <c r="E307" s="1014">
        <v>222784.02</v>
      </c>
      <c r="F307" s="1012" t="s">
        <v>401</v>
      </c>
      <c r="G307" s="1012" t="s">
        <v>2781</v>
      </c>
      <c r="H307" s="971"/>
      <c r="I307" s="972"/>
      <c r="J307" s="972"/>
      <c r="K307" s="972"/>
      <c r="L307" s="153" t="str">
        <f t="shared" si="18"/>
        <v>6101</v>
      </c>
      <c r="M307" s="154" t="str">
        <f t="shared" si="19"/>
        <v>COMMISSION VENDEUR NEUFS</v>
      </c>
      <c r="N307" s="155">
        <f>+IF(OR($Q307=Parametres!$G$2,$Q307=Parametres!$G$3),I307,C307)</f>
        <v>185048.78</v>
      </c>
      <c r="O307" s="155">
        <f>+IF(OR($Q307=Parametres!$G$2,$Q307=Parametres!$G$3),J307,D307)</f>
        <v>37735.24</v>
      </c>
      <c r="P307" s="155">
        <f>+IF(OR($Q307=Parametres!$G$2,$Q307=Parametres!$G$3),K307,E307)</f>
        <v>222784.02</v>
      </c>
      <c r="Q307" s="154" t="str">
        <f t="shared" si="23"/>
        <v>7-Dépenses</v>
      </c>
      <c r="R307" s="153" t="str">
        <f t="shared" si="23"/>
        <v>6101</v>
      </c>
      <c r="S307" s="154">
        <f t="shared" si="23"/>
        <v>0</v>
      </c>
      <c r="T307" s="156" t="str">
        <f>+VLOOKUP($L307,Data_Validation!$A:$D,1,0)</f>
        <v>6101</v>
      </c>
      <c r="U307" s="156" t="str">
        <f>+VLOOKUP($L307,Data_Validation!$A:$D,3,0)</f>
        <v>Véhicules neufs</v>
      </c>
      <c r="V307" s="156" t="str">
        <f>+VLOOKUP($L307,Data_Validation!$A:$D,4,0)</f>
        <v>Comm. vendeurs</v>
      </c>
      <c r="W307" s="156" t="str">
        <f>+VLOOKUP($L307,Data_Validation!$A:$E,5,0)</f>
        <v>$</v>
      </c>
      <c r="X307" s="156">
        <f>+VLOOKUP($L307,Data_Validation!$A:$F,6,0)</f>
        <v>0</v>
      </c>
    </row>
    <row r="308" spans="1:24" ht="15" hidden="1" customHeight="1">
      <c r="A308" s="1012" t="s">
        <v>1442</v>
      </c>
      <c r="B308" s="1012" t="s">
        <v>2770</v>
      </c>
      <c r="C308" s="1014">
        <v>102330.1</v>
      </c>
      <c r="D308" s="1014">
        <v>17352.41</v>
      </c>
      <c r="E308" s="1014">
        <v>119682.51</v>
      </c>
      <c r="F308" s="1012" t="s">
        <v>401</v>
      </c>
      <c r="G308" s="1012" t="s">
        <v>2770</v>
      </c>
      <c r="H308" s="971"/>
      <c r="I308" s="972"/>
      <c r="J308" s="972"/>
      <c r="K308" s="972"/>
      <c r="L308" s="153" t="str">
        <f t="shared" si="18"/>
        <v>6102</v>
      </c>
      <c r="M308" s="154" t="str">
        <f t="shared" si="19"/>
        <v>RENUMERATION F &amp; I</v>
      </c>
      <c r="N308" s="155">
        <f>+IF(OR($Q308=Parametres!$G$2,$Q308=Parametres!$G$3),I308,C308)</f>
        <v>102330.1</v>
      </c>
      <c r="O308" s="155">
        <f>+IF(OR($Q308=Parametres!$G$2,$Q308=Parametres!$G$3),J308,D308)</f>
        <v>17352.41</v>
      </c>
      <c r="P308" s="155">
        <f>+IF(OR($Q308=Parametres!$G$2,$Q308=Parametres!$G$3),K308,E308)</f>
        <v>119682.51</v>
      </c>
      <c r="Q308" s="154" t="str">
        <f t="shared" si="23"/>
        <v>7-Dépenses</v>
      </c>
      <c r="R308" s="153" t="str">
        <f t="shared" si="23"/>
        <v>6102</v>
      </c>
      <c r="S308" s="154">
        <f t="shared" si="23"/>
        <v>0</v>
      </c>
      <c r="T308" s="156" t="str">
        <f>+VLOOKUP($L308,Data_Validation!$A:$D,1,0)</f>
        <v>6102</v>
      </c>
      <c r="U308" s="156" t="str">
        <f>+VLOOKUP($L308,Data_Validation!$A:$D,3,0)</f>
        <v>Véhicules neufs</v>
      </c>
      <c r="V308" s="156" t="str">
        <f>+VLOOKUP($L308,Data_Validation!$A:$D,4,0)</f>
        <v>Comm. F&amp;I</v>
      </c>
      <c r="W308" s="156" t="str">
        <f>+VLOOKUP($L308,Data_Validation!$A:$E,5,0)</f>
        <v>$</v>
      </c>
      <c r="X308" s="156">
        <f>+VLOOKUP($L308,Data_Validation!$A:$F,6,0)</f>
        <v>0</v>
      </c>
    </row>
    <row r="309" spans="1:24" ht="15.75" hidden="1" customHeight="1">
      <c r="A309" s="1012" t="s">
        <v>399</v>
      </c>
      <c r="B309" s="1012" t="s">
        <v>2706</v>
      </c>
      <c r="C309" s="1014">
        <v>2253.1</v>
      </c>
      <c r="D309" s="1014">
        <v>223.52</v>
      </c>
      <c r="E309" s="1014">
        <v>2476.62</v>
      </c>
      <c r="F309" s="1012" t="s">
        <v>401</v>
      </c>
      <c r="G309" s="1012" t="s">
        <v>2706</v>
      </c>
      <c r="H309" s="971"/>
      <c r="I309" s="972"/>
      <c r="J309" s="972"/>
      <c r="K309" s="972"/>
      <c r="L309" s="153" t="str">
        <f t="shared" si="18"/>
        <v>6103</v>
      </c>
      <c r="M309" s="154" t="str">
        <f t="shared" si="19"/>
        <v>RELAT. A LA CLIENTELE &amp; AJUST.</v>
      </c>
      <c r="N309" s="155">
        <f>+IF(OR($Q309=Parametres!$G$2,$Q309=Parametres!$G$3),I309,C309)</f>
        <v>2253.1</v>
      </c>
      <c r="O309" s="155">
        <f>+IF(OR($Q309=Parametres!$G$2,$Q309=Parametres!$G$3),J309,D309)</f>
        <v>223.52</v>
      </c>
      <c r="P309" s="155">
        <f>+IF(OR($Q309=Parametres!$G$2,$Q309=Parametres!$G$3),K309,E309)</f>
        <v>2476.62</v>
      </c>
      <c r="Q309" s="154" t="str">
        <f t="shared" si="23"/>
        <v>7-Dépenses</v>
      </c>
      <c r="R309" s="153" t="str">
        <f t="shared" si="23"/>
        <v>6103</v>
      </c>
      <c r="S309" s="154">
        <f t="shared" si="23"/>
        <v>0</v>
      </c>
      <c r="T309" s="156" t="str">
        <f>+VLOOKUP($L309,Data_Validation!$A:$D,1,0)</f>
        <v>6103</v>
      </c>
      <c r="U309" s="156" t="str">
        <f>+VLOOKUP($L309,Data_Validation!$A:$D,3,0)</f>
        <v>Véhicules neufs</v>
      </c>
      <c r="V309" s="156" t="str">
        <f>+VLOOKUP($L309,Data_Validation!$A:$D,4,0)</f>
        <v>Service gratuit 1</v>
      </c>
      <c r="W309" s="156" t="str">
        <f>+VLOOKUP($L309,Data_Validation!$A:$E,5,0)</f>
        <v>$</v>
      </c>
      <c r="X309" s="156">
        <f>+VLOOKUP($L309,Data_Validation!$A:$F,6,0)</f>
        <v>0</v>
      </c>
    </row>
    <row r="310" spans="1:24" ht="15" hidden="1" customHeight="1">
      <c r="A310" s="1012" t="s">
        <v>2757</v>
      </c>
      <c r="B310" s="1012" t="s">
        <v>2759</v>
      </c>
      <c r="C310" s="1014">
        <v>12938.94</v>
      </c>
      <c r="D310" s="1014">
        <v>2470.1</v>
      </c>
      <c r="E310" s="1014">
        <v>15409.04</v>
      </c>
      <c r="F310" s="1012" t="s">
        <v>401</v>
      </c>
      <c r="G310" s="1012" t="s">
        <v>2759</v>
      </c>
      <c r="H310" s="971"/>
      <c r="I310" s="972"/>
      <c r="J310" s="972"/>
      <c r="K310" s="972"/>
      <c r="L310" s="153" t="str">
        <f t="shared" si="18"/>
        <v>6106</v>
      </c>
      <c r="M310" s="154" t="str">
        <f t="shared" si="19"/>
        <v>ENTRETIEN DES STOCKS</v>
      </c>
      <c r="N310" s="155">
        <f>+IF(OR($Q310=Parametres!$G$2,$Q310=Parametres!$G$3),I310,C310)</f>
        <v>12938.94</v>
      </c>
      <c r="O310" s="155">
        <f>+IF(OR($Q310=Parametres!$G$2,$Q310=Parametres!$G$3),J310,D310)</f>
        <v>2470.1</v>
      </c>
      <c r="P310" s="155">
        <f>+IF(OR($Q310=Parametres!$G$2,$Q310=Parametres!$G$3),K310,E310)</f>
        <v>15409.04</v>
      </c>
      <c r="Q310" s="154" t="str">
        <f t="shared" si="23"/>
        <v>7-Dépenses</v>
      </c>
      <c r="R310" s="153" t="str">
        <f t="shared" si="23"/>
        <v>6106</v>
      </c>
      <c r="S310" s="154">
        <f t="shared" si="23"/>
        <v>0</v>
      </c>
      <c r="T310" s="156" t="str">
        <f>+VLOOKUP($L310,Data_Validation!$A:$D,1,0)</f>
        <v>6106</v>
      </c>
      <c r="U310" s="156" t="str">
        <f>+VLOOKUP($L310,Data_Validation!$A:$D,3,0)</f>
        <v>Véhicules neufs</v>
      </c>
      <c r="V310" s="156" t="str">
        <f>+VLOOKUP($L310,Data_Validation!$A:$D,4,0)</f>
        <v>Entretien stock</v>
      </c>
      <c r="W310" s="156" t="str">
        <f>+VLOOKUP($L310,Data_Validation!$A:$E,5,0)</f>
        <v>$</v>
      </c>
      <c r="X310" s="156">
        <f>+VLOOKUP($L310,Data_Validation!$A:$F,6,0)</f>
        <v>0</v>
      </c>
    </row>
    <row r="311" spans="1:24" ht="15" hidden="1" customHeight="1">
      <c r="A311" s="1012" t="s">
        <v>938</v>
      </c>
      <c r="B311" s="1012" t="s">
        <v>2612</v>
      </c>
      <c r="C311" s="1014">
        <v>116270.77</v>
      </c>
      <c r="D311" s="1014">
        <v>23343.919999999998</v>
      </c>
      <c r="E311" s="1014">
        <v>139614.69</v>
      </c>
      <c r="F311" s="1012" t="s">
        <v>401</v>
      </c>
      <c r="G311" s="1012" t="s">
        <v>2612</v>
      </c>
      <c r="H311" s="971"/>
      <c r="I311" s="972"/>
      <c r="J311" s="972"/>
      <c r="K311" s="972"/>
      <c r="L311" s="153" t="str">
        <f t="shared" si="18"/>
        <v>6107</v>
      </c>
      <c r="M311" s="154" t="str">
        <f t="shared" si="19"/>
        <v>INTERET-PLAN DE FINANCEMENT</v>
      </c>
      <c r="N311" s="155">
        <f>+IF(OR($Q311=Parametres!$G$2,$Q311=Parametres!$G$3),I311,C311)</f>
        <v>116270.77</v>
      </c>
      <c r="O311" s="155">
        <f>+IF(OR($Q311=Parametres!$G$2,$Q311=Parametres!$G$3),J311,D311)</f>
        <v>23343.919999999998</v>
      </c>
      <c r="P311" s="155">
        <f>+IF(OR($Q311=Parametres!$G$2,$Q311=Parametres!$G$3),K311,E311)</f>
        <v>139614.69</v>
      </c>
      <c r="Q311" s="154" t="str">
        <f t="shared" si="23"/>
        <v>7-Dépenses</v>
      </c>
      <c r="R311" s="153" t="str">
        <f t="shared" si="23"/>
        <v>6107</v>
      </c>
      <c r="S311" s="154">
        <f t="shared" si="23"/>
        <v>0</v>
      </c>
      <c r="T311" s="156" t="str">
        <f>+VLOOKUP($L311,Data_Validation!$A:$D,1,0)</f>
        <v>6107</v>
      </c>
      <c r="U311" s="156" t="str">
        <f>+VLOOKUP($L311,Data_Validation!$A:$D,3,0)</f>
        <v>Véhicules neufs</v>
      </c>
      <c r="V311" s="156" t="str">
        <f>+VLOOKUP($L311,Data_Validation!$A:$D,4,0)</f>
        <v>Intérêt de gros</v>
      </c>
      <c r="W311" s="156" t="str">
        <f>+VLOOKUP($L311,Data_Validation!$A:$E,5,0)</f>
        <v>$</v>
      </c>
      <c r="X311" s="156">
        <f>+VLOOKUP($L311,Data_Validation!$A:$F,6,0)</f>
        <v>0</v>
      </c>
    </row>
    <row r="312" spans="1:24" ht="15" hidden="1" customHeight="1">
      <c r="A312" s="1012" t="s">
        <v>1407</v>
      </c>
      <c r="B312" s="1012" t="s">
        <v>2696</v>
      </c>
      <c r="C312" s="1014">
        <v>79201.84</v>
      </c>
      <c r="D312" s="1014">
        <v>10910.77</v>
      </c>
      <c r="E312" s="1014">
        <v>90112.61</v>
      </c>
      <c r="F312" s="1012" t="s">
        <v>401</v>
      </c>
      <c r="G312" s="1012" t="s">
        <v>2696</v>
      </c>
      <c r="H312" s="971"/>
      <c r="I312" s="972"/>
      <c r="J312" s="972"/>
      <c r="K312" s="972"/>
      <c r="L312" s="153" t="str">
        <f t="shared" si="18"/>
        <v>6108</v>
      </c>
      <c r="M312" s="154" t="str">
        <f t="shared" si="19"/>
        <v>FRAIS DE LIVRAISON</v>
      </c>
      <c r="N312" s="155">
        <f>+IF(OR($Q312=Parametres!$G$2,$Q312=Parametres!$G$3),I312,C312)</f>
        <v>79201.84</v>
      </c>
      <c r="O312" s="155">
        <f>+IF(OR($Q312=Parametres!$G$2,$Q312=Parametres!$G$3),J312,D312)</f>
        <v>10910.77</v>
      </c>
      <c r="P312" s="155">
        <f>+IF(OR($Q312=Parametres!$G$2,$Q312=Parametres!$G$3),K312,E312)</f>
        <v>90112.61</v>
      </c>
      <c r="Q312" s="154" t="str">
        <f t="shared" si="23"/>
        <v>7-Dépenses</v>
      </c>
      <c r="R312" s="153" t="str">
        <f t="shared" si="23"/>
        <v>6108</v>
      </c>
      <c r="S312" s="154">
        <f t="shared" si="23"/>
        <v>0</v>
      </c>
      <c r="T312" s="156" t="str">
        <f>+VLOOKUP($L312,Data_Validation!$A:$D,1,0)</f>
        <v>6108</v>
      </c>
      <c r="U312" s="156" t="str">
        <f>+VLOOKUP($L312,Data_Validation!$A:$D,3,0)</f>
        <v>Véhicules neufs</v>
      </c>
      <c r="V312" s="156" t="str">
        <f>+VLOOKUP($L312,Data_Validation!$A:$D,4,0)</f>
        <v>Frais de livraison</v>
      </c>
      <c r="W312" s="156" t="str">
        <f>+VLOOKUP($L312,Data_Validation!$A:$E,5,0)</f>
        <v>$</v>
      </c>
      <c r="X312" s="156">
        <f>+VLOOKUP($L312,Data_Validation!$A:$F,6,0)</f>
        <v>0</v>
      </c>
    </row>
    <row r="313" spans="1:24" ht="15" hidden="1" customHeight="1">
      <c r="A313" s="1012" t="s">
        <v>1374</v>
      </c>
      <c r="B313" s="1012" t="s">
        <v>2113</v>
      </c>
      <c r="C313" s="1014">
        <v>80920</v>
      </c>
      <c r="D313" s="1014">
        <v>17000</v>
      </c>
      <c r="E313" s="1014">
        <v>97920</v>
      </c>
      <c r="F313" s="1012" t="s">
        <v>401</v>
      </c>
      <c r="G313" s="1012" t="s">
        <v>2113</v>
      </c>
      <c r="H313" s="971"/>
      <c r="I313" s="972"/>
      <c r="J313" s="972"/>
      <c r="K313" s="972"/>
      <c r="L313" s="153" t="str">
        <f t="shared" si="18"/>
        <v>6114</v>
      </c>
      <c r="M313" s="154" t="str">
        <f t="shared" si="19"/>
        <v>PUBLICITE</v>
      </c>
      <c r="N313" s="155">
        <f>+IF(OR($Q313=Parametres!$G$2,$Q313=Parametres!$G$3),I313,C313)</f>
        <v>80920</v>
      </c>
      <c r="O313" s="155">
        <f>+IF(OR($Q313=Parametres!$G$2,$Q313=Parametres!$G$3),J313,D313)</f>
        <v>17000</v>
      </c>
      <c r="P313" s="155">
        <f>+IF(OR($Q313=Parametres!$G$2,$Q313=Parametres!$G$3),K313,E313)</f>
        <v>97920</v>
      </c>
      <c r="Q313" s="154" t="str">
        <f t="shared" si="23"/>
        <v>7-Dépenses</v>
      </c>
      <c r="R313" s="153" t="str">
        <f t="shared" si="23"/>
        <v>6114</v>
      </c>
      <c r="S313" s="154">
        <f t="shared" si="23"/>
        <v>0</v>
      </c>
      <c r="T313" s="156" t="str">
        <f>+VLOOKUP($L313,Data_Validation!$A:$D,1,0)</f>
        <v>6114</v>
      </c>
      <c r="U313" s="156" t="str">
        <f>+VLOOKUP($L313,Data_Validation!$A:$D,3,0)</f>
        <v>Véhicules neufs</v>
      </c>
      <c r="V313" s="156" t="str">
        <f>+VLOOKUP($L313,Data_Validation!$A:$D,4,0)</f>
        <v>Publicité 1</v>
      </c>
      <c r="W313" s="156" t="str">
        <f>+VLOOKUP($L313,Data_Validation!$A:$E,5,0)</f>
        <v>$</v>
      </c>
      <c r="X313" s="156">
        <f>+VLOOKUP($L313,Data_Validation!$A:$F,6,0)</f>
        <v>0</v>
      </c>
    </row>
    <row r="314" spans="1:24" ht="15" hidden="1" customHeight="1">
      <c r="A314" s="1012" t="s">
        <v>2111</v>
      </c>
      <c r="B314" s="1012" t="s">
        <v>2112</v>
      </c>
      <c r="C314" s="1014">
        <v>-43800</v>
      </c>
      <c r="D314" s="1014">
        <v>-5900</v>
      </c>
      <c r="E314" s="1014">
        <v>-49700</v>
      </c>
      <c r="F314" s="1012" t="s">
        <v>401</v>
      </c>
      <c r="G314" s="1012" t="s">
        <v>2113</v>
      </c>
      <c r="H314" s="971"/>
      <c r="I314" s="972"/>
      <c r="J314" s="972"/>
      <c r="K314" s="972"/>
      <c r="L314" s="153" t="str">
        <f t="shared" si="18"/>
        <v>6115</v>
      </c>
      <c r="M314" s="154" t="str">
        <f t="shared" si="19"/>
        <v>CREDIT PUBLICITE NEUF</v>
      </c>
      <c r="N314" s="155">
        <f>+IF(OR($Q314=Parametres!$G$2,$Q314=Parametres!$G$3),I314,C314)</f>
        <v>-43800</v>
      </c>
      <c r="O314" s="155">
        <f>+IF(OR($Q314=Parametres!$G$2,$Q314=Parametres!$G$3),J314,D314)</f>
        <v>-5900</v>
      </c>
      <c r="P314" s="155">
        <f>+IF(OR($Q314=Parametres!$G$2,$Q314=Parametres!$G$3),K314,E314)</f>
        <v>-49700</v>
      </c>
      <c r="Q314" s="154" t="str">
        <f t="shared" si="23"/>
        <v>7-Dépenses</v>
      </c>
      <c r="R314" s="153" t="str">
        <f t="shared" si="23"/>
        <v>6114</v>
      </c>
      <c r="S314" s="154">
        <f t="shared" si="23"/>
        <v>0</v>
      </c>
      <c r="T314" s="156" t="str">
        <f>+VLOOKUP($L314,Data_Validation!$A:$D,1,0)</f>
        <v>6115</v>
      </c>
      <c r="U314" s="156" t="str">
        <f>+VLOOKUP($L314,Data_Validation!$A:$D,3,0)</f>
        <v>Véhicules neufs</v>
      </c>
      <c r="V314" s="156" t="str">
        <f>+VLOOKUP($L314,Data_Validation!$A:$D,4,0)</f>
        <v>Publicité 1</v>
      </c>
      <c r="W314" s="156" t="str">
        <f>+VLOOKUP($L314,Data_Validation!$A:$E,5,0)</f>
        <v>$</v>
      </c>
      <c r="X314" s="156">
        <f>+VLOOKUP($L314,Data_Validation!$A:$F,6,0)</f>
        <v>0</v>
      </c>
    </row>
    <row r="315" spans="1:24" ht="15" hidden="1" customHeight="1">
      <c r="A315" s="1012" t="s">
        <v>1259</v>
      </c>
      <c r="B315" s="1012" t="s">
        <v>2648</v>
      </c>
      <c r="C315" s="1014">
        <v>16636.419999999998</v>
      </c>
      <c r="D315" s="1014">
        <v>3339.76</v>
      </c>
      <c r="E315" s="1014">
        <v>19976.18</v>
      </c>
      <c r="F315" s="1012" t="s">
        <v>401</v>
      </c>
      <c r="G315" s="1012" t="s">
        <v>2648</v>
      </c>
      <c r="H315" s="971"/>
      <c r="I315" s="972"/>
      <c r="J315" s="972"/>
      <c r="K315" s="972"/>
      <c r="L315" s="153" t="str">
        <f t="shared" si="18"/>
        <v>6121</v>
      </c>
      <c r="M315" s="154" t="str">
        <f t="shared" si="19"/>
        <v>SALAIRES - PROPRIETAIRES</v>
      </c>
      <c r="N315" s="155">
        <f>+IF(OR($Q315=Parametres!$G$2,$Q315=Parametres!$G$3),I315,C315)</f>
        <v>16636.419999999998</v>
      </c>
      <c r="O315" s="155">
        <f>+IF(OR($Q315=Parametres!$G$2,$Q315=Parametres!$G$3),J315,D315)</f>
        <v>3339.76</v>
      </c>
      <c r="P315" s="155">
        <f>+IF(OR($Q315=Parametres!$G$2,$Q315=Parametres!$G$3),K315,E315)</f>
        <v>19976.18</v>
      </c>
      <c r="Q315" s="154" t="str">
        <f t="shared" si="23"/>
        <v>7-Dépenses</v>
      </c>
      <c r="R315" s="153" t="str">
        <f t="shared" si="23"/>
        <v>6121</v>
      </c>
      <c r="S315" s="154">
        <f t="shared" si="23"/>
        <v>0</v>
      </c>
      <c r="T315" s="156" t="str">
        <f>+VLOOKUP($L315,Data_Validation!$A:$D,1,0)</f>
        <v>6121</v>
      </c>
      <c r="U315" s="156" t="str">
        <f>+VLOOKUP($L315,Data_Validation!$A:$D,3,0)</f>
        <v>Véhicules neufs</v>
      </c>
      <c r="V315" s="156" t="str">
        <f>+VLOOKUP($L315,Data_Validation!$A:$D,4,0)</f>
        <v>Salaires propriétaire</v>
      </c>
      <c r="W315" s="156" t="str">
        <f>+VLOOKUP($L315,Data_Validation!$A:$E,5,0)</f>
        <v>$</v>
      </c>
      <c r="X315" s="156">
        <f>+VLOOKUP($L315,Data_Validation!$A:$F,6,0)</f>
        <v>0</v>
      </c>
    </row>
    <row r="316" spans="1:24" ht="15" hidden="1" customHeight="1">
      <c r="A316" s="1012" t="s">
        <v>2624</v>
      </c>
      <c r="B316" s="1012" t="s">
        <v>2626</v>
      </c>
      <c r="C316" s="1014">
        <v>134671.03</v>
      </c>
      <c r="D316" s="1014">
        <v>20868.79</v>
      </c>
      <c r="E316" s="1014">
        <v>155539.82</v>
      </c>
      <c r="F316" s="1012" t="s">
        <v>401</v>
      </c>
      <c r="G316" s="1012" t="s">
        <v>2626</v>
      </c>
      <c r="H316" s="971"/>
      <c r="I316" s="972"/>
      <c r="J316" s="972"/>
      <c r="K316" s="972"/>
      <c r="L316" s="153" t="str">
        <f t="shared" si="18"/>
        <v>6122</v>
      </c>
      <c r="M316" s="154" t="str">
        <f t="shared" si="19"/>
        <v>SAL SUPERVISION / GERANT</v>
      </c>
      <c r="N316" s="155">
        <f>+IF(OR($Q316=Parametres!$G$2,$Q316=Parametres!$G$3),I316,C316)</f>
        <v>134671.03</v>
      </c>
      <c r="O316" s="155">
        <f>+IF(OR($Q316=Parametres!$G$2,$Q316=Parametres!$G$3),J316,D316)</f>
        <v>20868.79</v>
      </c>
      <c r="P316" s="155">
        <f>+IF(OR($Q316=Parametres!$G$2,$Q316=Parametres!$G$3),K316,E316)</f>
        <v>155539.82</v>
      </c>
      <c r="Q316" s="154" t="str">
        <f t="shared" si="23"/>
        <v>7-Dépenses</v>
      </c>
      <c r="R316" s="153" t="str">
        <f t="shared" si="23"/>
        <v>6122</v>
      </c>
      <c r="S316" s="154">
        <f t="shared" si="23"/>
        <v>0</v>
      </c>
      <c r="T316" s="156" t="str">
        <f>+VLOOKUP($L316,Data_Validation!$A:$D,1,0)</f>
        <v>6122</v>
      </c>
      <c r="U316" s="156" t="str">
        <f>+VLOOKUP($L316,Data_Validation!$A:$D,3,0)</f>
        <v>Véhicules neufs</v>
      </c>
      <c r="V316" s="156" t="str">
        <f>+VLOOKUP($L316,Data_Validation!$A:$D,4,0)</f>
        <v>Salaires cadres</v>
      </c>
      <c r="W316" s="156" t="str">
        <f>+VLOOKUP($L316,Data_Validation!$A:$E,5,0)</f>
        <v>$</v>
      </c>
      <c r="X316" s="156">
        <f>+VLOOKUP($L316,Data_Validation!$A:$F,6,0)</f>
        <v>0</v>
      </c>
    </row>
    <row r="317" spans="1:24" ht="15" hidden="1" customHeight="1">
      <c r="A317" s="1012" t="s">
        <v>1342</v>
      </c>
      <c r="B317" s="1012" t="s">
        <v>2679</v>
      </c>
      <c r="C317" s="1014">
        <v>54783.71</v>
      </c>
      <c r="D317" s="1014">
        <v>9131.9599999999991</v>
      </c>
      <c r="E317" s="1014">
        <v>63915.67</v>
      </c>
      <c r="F317" s="1012" t="s">
        <v>401</v>
      </c>
      <c r="G317" s="1012" t="s">
        <v>2679</v>
      </c>
      <c r="H317" s="971"/>
      <c r="I317" s="972"/>
      <c r="J317" s="972"/>
      <c r="K317" s="972"/>
      <c r="L317" s="153" t="str">
        <f t="shared" si="18"/>
        <v>6123</v>
      </c>
      <c r="M317" s="154" t="str">
        <f t="shared" si="19"/>
        <v>SAL. &amp; RENUM. - CLERICAL</v>
      </c>
      <c r="N317" s="155">
        <f>+IF(OR($Q317=Parametres!$G$2,$Q317=Parametres!$G$3),I317,C317)</f>
        <v>54783.71</v>
      </c>
      <c r="O317" s="155">
        <f>+IF(OR($Q317=Parametres!$G$2,$Q317=Parametres!$G$3),J317,D317)</f>
        <v>9131.9599999999991</v>
      </c>
      <c r="P317" s="155">
        <f>+IF(OR($Q317=Parametres!$G$2,$Q317=Parametres!$G$3),K317,E317)</f>
        <v>63915.67</v>
      </c>
      <c r="Q317" s="154" t="str">
        <f t="shared" si="23"/>
        <v>7-Dépenses</v>
      </c>
      <c r="R317" s="153" t="str">
        <f t="shared" si="23"/>
        <v>6123</v>
      </c>
      <c r="S317" s="154">
        <f t="shared" si="23"/>
        <v>0</v>
      </c>
      <c r="T317" s="156" t="str">
        <f>+VLOOKUP($L317,Data_Validation!$A:$D,1,0)</f>
        <v>6123</v>
      </c>
      <c r="U317" s="156" t="str">
        <f>+VLOOKUP($L317,Data_Validation!$A:$D,3,0)</f>
        <v>Véhicules neufs</v>
      </c>
      <c r="V317" s="156" t="str">
        <f>+VLOOKUP($L317,Data_Validation!$A:$D,4,0)</f>
        <v>Salaires commis</v>
      </c>
      <c r="W317" s="156" t="str">
        <f>+VLOOKUP($L317,Data_Validation!$A:$E,5,0)</f>
        <v>$</v>
      </c>
      <c r="X317" s="156">
        <f>+VLOOKUP($L317,Data_Validation!$A:$F,6,0)</f>
        <v>0</v>
      </c>
    </row>
    <row r="318" spans="1:24" ht="15.75" hidden="1" customHeight="1">
      <c r="A318" s="1012" t="s">
        <v>1249</v>
      </c>
      <c r="B318" s="1012" t="s">
        <v>2735</v>
      </c>
      <c r="C318" s="1014">
        <v>37446.76</v>
      </c>
      <c r="D318" s="1014">
        <v>6249.57</v>
      </c>
      <c r="E318" s="1014">
        <v>43696.33</v>
      </c>
      <c r="F318" s="1012" t="s">
        <v>401</v>
      </c>
      <c r="G318" s="1012" t="s">
        <v>2735</v>
      </c>
      <c r="H318" s="971"/>
      <c r="I318" s="972"/>
      <c r="J318" s="972"/>
      <c r="K318" s="972"/>
      <c r="L318" s="153" t="str">
        <f t="shared" si="18"/>
        <v>6124</v>
      </c>
      <c r="M318" s="154" t="str">
        <f t="shared" si="19"/>
        <v>SALAIRES &amp; RENUM. - AUTRES</v>
      </c>
      <c r="N318" s="155">
        <f>+IF(OR($Q318=Parametres!$G$2,$Q318=Parametres!$G$3),I318,C318)</f>
        <v>37446.76</v>
      </c>
      <c r="O318" s="155">
        <f>+IF(OR($Q318=Parametres!$G$2,$Q318=Parametres!$G$3),J318,D318)</f>
        <v>6249.57</v>
      </c>
      <c r="P318" s="155">
        <f>+IF(OR($Q318=Parametres!$G$2,$Q318=Parametres!$G$3),K318,E318)</f>
        <v>43696.33</v>
      </c>
      <c r="Q318" s="154" t="str">
        <f t="shared" si="23"/>
        <v>7-Dépenses</v>
      </c>
      <c r="R318" s="153" t="str">
        <f t="shared" si="23"/>
        <v>6124</v>
      </c>
      <c r="S318" s="154">
        <f t="shared" si="23"/>
        <v>0</v>
      </c>
      <c r="T318" s="156" t="str">
        <f>+VLOOKUP($L318,Data_Validation!$A:$D,1,0)</f>
        <v>6124</v>
      </c>
      <c r="U318" s="156" t="str">
        <f>+VLOOKUP($L318,Data_Validation!$A:$D,3,0)</f>
        <v>Véhicules neufs</v>
      </c>
      <c r="V318" s="156" t="str">
        <f>+VLOOKUP($L318,Data_Validation!$A:$D,4,0)</f>
        <v>Salaires autres</v>
      </c>
      <c r="W318" s="156" t="str">
        <f>+VLOOKUP($L318,Data_Validation!$A:$E,5,0)</f>
        <v>$</v>
      </c>
      <c r="X318" s="156">
        <f>+VLOOKUP($L318,Data_Validation!$A:$F,6,0)</f>
        <v>0</v>
      </c>
    </row>
    <row r="319" spans="1:24" ht="15" hidden="1" customHeight="1">
      <c r="A319" s="1012" t="s">
        <v>1445</v>
      </c>
      <c r="B319" s="1012" t="s">
        <v>2641</v>
      </c>
      <c r="C319" s="1014">
        <v>80555.11</v>
      </c>
      <c r="D319" s="1014">
        <v>14778.52</v>
      </c>
      <c r="E319" s="1014">
        <v>95333.63</v>
      </c>
      <c r="F319" s="1012" t="s">
        <v>401</v>
      </c>
      <c r="G319" s="1012" t="s">
        <v>2641</v>
      </c>
      <c r="H319" s="971"/>
      <c r="I319" s="972"/>
      <c r="J319" s="972"/>
      <c r="K319" s="972"/>
      <c r="L319" s="153" t="str">
        <f t="shared" si="18"/>
        <v>6129</v>
      </c>
      <c r="M319" s="154" t="str">
        <f t="shared" si="19"/>
        <v>ABS., VACANCE &amp; SAL. JOURS FER</v>
      </c>
      <c r="N319" s="155">
        <f>+IF(OR($Q319=Parametres!$G$2,$Q319=Parametres!$G$3),I319,C319)</f>
        <v>80555.11</v>
      </c>
      <c r="O319" s="155">
        <f>+IF(OR($Q319=Parametres!$G$2,$Q319=Parametres!$G$3),J319,D319)</f>
        <v>14778.52</v>
      </c>
      <c r="P319" s="155">
        <f>+IF(OR($Q319=Parametres!$G$2,$Q319=Parametres!$G$3),K319,E319)</f>
        <v>95333.63</v>
      </c>
      <c r="Q319" s="154" t="str">
        <f t="shared" si="23"/>
        <v>7-Dépenses</v>
      </c>
      <c r="R319" s="153" t="str">
        <f t="shared" si="23"/>
        <v>6129</v>
      </c>
      <c r="S319" s="154">
        <f t="shared" si="23"/>
        <v>0</v>
      </c>
      <c r="T319" s="156" t="str">
        <f>+VLOOKUP($L319,Data_Validation!$A:$D,1,0)</f>
        <v>6129</v>
      </c>
      <c r="U319" s="156" t="str">
        <f>+VLOOKUP($L319,Data_Validation!$A:$D,3,0)</f>
        <v>Véhicules neufs</v>
      </c>
      <c r="V319" s="156" t="str">
        <f>+VLOOKUP($L319,Data_Validation!$A:$D,4,0)</f>
        <v>Salaires en absences</v>
      </c>
      <c r="W319" s="156" t="str">
        <f>+VLOOKUP($L319,Data_Validation!$A:$E,5,0)</f>
        <v>$</v>
      </c>
      <c r="X319" s="156">
        <f>+VLOOKUP($L319,Data_Validation!$A:$F,6,0)</f>
        <v>0</v>
      </c>
    </row>
    <row r="320" spans="1:24" ht="15" hidden="1" customHeight="1">
      <c r="A320" s="1012" t="s">
        <v>1252</v>
      </c>
      <c r="B320" s="1012" t="s">
        <v>2586</v>
      </c>
      <c r="C320" s="1014">
        <v>17677.25</v>
      </c>
      <c r="D320" s="1014">
        <v>3007.6</v>
      </c>
      <c r="E320" s="1014">
        <v>20684.849999999999</v>
      </c>
      <c r="F320" s="1012" t="s">
        <v>401</v>
      </c>
      <c r="G320" s="1012" t="s">
        <v>2586</v>
      </c>
      <c r="H320" s="971"/>
      <c r="I320" s="972"/>
      <c r="J320" s="972"/>
      <c r="K320" s="972"/>
      <c r="L320" s="153" t="str">
        <f t="shared" si="18"/>
        <v>6131</v>
      </c>
      <c r="M320" s="154" t="str">
        <f t="shared" si="19"/>
        <v>CSST</v>
      </c>
      <c r="N320" s="155">
        <f>+IF(OR($Q320=Parametres!$G$2,$Q320=Parametres!$G$3),I320,C320)</f>
        <v>17677.25</v>
      </c>
      <c r="O320" s="155">
        <f>+IF(OR($Q320=Parametres!$G$2,$Q320=Parametres!$G$3),J320,D320)</f>
        <v>3007.6</v>
      </c>
      <c r="P320" s="155">
        <f>+IF(OR($Q320=Parametres!$G$2,$Q320=Parametres!$G$3),K320,E320)</f>
        <v>20684.849999999999</v>
      </c>
      <c r="Q320" s="154" t="str">
        <f t="shared" si="23"/>
        <v>7-Dépenses</v>
      </c>
      <c r="R320" s="153" t="str">
        <f t="shared" si="23"/>
        <v>6131</v>
      </c>
      <c r="S320" s="154">
        <f t="shared" si="23"/>
        <v>0</v>
      </c>
      <c r="T320" s="156" t="str">
        <f>+VLOOKUP($L320,Data_Validation!$A:$D,1,0)</f>
        <v>6131</v>
      </c>
      <c r="U320" s="156" t="str">
        <f>+VLOOKUP($L320,Data_Validation!$A:$D,3,0)</f>
        <v>Véhicules neufs</v>
      </c>
      <c r="V320" s="156" t="str">
        <f>+VLOOKUP($L320,Data_Validation!$A:$D,4,0)</f>
        <v>Csst</v>
      </c>
      <c r="W320" s="156" t="str">
        <f>+VLOOKUP($L320,Data_Validation!$A:$E,5,0)</f>
        <v>$</v>
      </c>
      <c r="X320" s="156">
        <f>+VLOOKUP($L320,Data_Validation!$A:$F,6,0)</f>
        <v>0</v>
      </c>
    </row>
    <row r="321" spans="1:24" ht="15" hidden="1" customHeight="1">
      <c r="A321" s="1012" t="s">
        <v>1283</v>
      </c>
      <c r="B321" s="1012" t="s">
        <v>2685</v>
      </c>
      <c r="C321" s="1014">
        <v>70870.039999999994</v>
      </c>
      <c r="D321" s="1014">
        <v>12944.55</v>
      </c>
      <c r="E321" s="1014">
        <v>83814.59</v>
      </c>
      <c r="F321" s="1012" t="s">
        <v>401</v>
      </c>
      <c r="G321" s="1012" t="s">
        <v>2685</v>
      </c>
      <c r="H321" s="971"/>
      <c r="I321" s="972"/>
      <c r="J321" s="972"/>
      <c r="K321" s="972"/>
      <c r="L321" s="153" t="str">
        <f t="shared" si="18"/>
        <v>6132</v>
      </c>
      <c r="M321" s="154" t="str">
        <f t="shared" si="19"/>
        <v>RRQ RAMQ AC</v>
      </c>
      <c r="N321" s="155">
        <f>+IF(OR($Q321=Parametres!$G$2,$Q321=Parametres!$G$3),I321,C321)</f>
        <v>70870.039999999994</v>
      </c>
      <c r="O321" s="155">
        <f>+IF(OR($Q321=Parametres!$G$2,$Q321=Parametres!$G$3),J321,D321)</f>
        <v>12944.55</v>
      </c>
      <c r="P321" s="155">
        <f>+IF(OR($Q321=Parametres!$G$2,$Q321=Parametres!$G$3),K321,E321)</f>
        <v>83814.59</v>
      </c>
      <c r="Q321" s="154" t="str">
        <f t="shared" si="23"/>
        <v>7-Dépenses</v>
      </c>
      <c r="R321" s="153" t="str">
        <f t="shared" si="23"/>
        <v>6132</v>
      </c>
      <c r="S321" s="154">
        <f t="shared" si="23"/>
        <v>0</v>
      </c>
      <c r="T321" s="156" t="str">
        <f>+VLOOKUP($L321,Data_Validation!$A:$D,1,0)</f>
        <v>6132</v>
      </c>
      <c r="U321" s="156" t="str">
        <f>+VLOOKUP($L321,Data_Validation!$A:$D,3,0)</f>
        <v>Véhicules neufs</v>
      </c>
      <c r="V321" s="156" t="str">
        <f>+VLOOKUP($L321,Data_Validation!$A:$D,4,0)</f>
        <v>Déduction à la source</v>
      </c>
      <c r="W321" s="156" t="str">
        <f>+VLOOKUP($L321,Data_Validation!$A:$E,5,0)</f>
        <v>$</v>
      </c>
      <c r="X321" s="156">
        <f>+VLOOKUP($L321,Data_Validation!$A:$F,6,0)</f>
        <v>0</v>
      </c>
    </row>
    <row r="322" spans="1:24" ht="15.75" hidden="1" customHeight="1">
      <c r="A322" s="1012" t="s">
        <v>1414</v>
      </c>
      <c r="B322" s="1012" t="s">
        <v>2694</v>
      </c>
      <c r="C322" s="1014">
        <v>48149.79</v>
      </c>
      <c r="D322" s="1014">
        <v>8504.35</v>
      </c>
      <c r="E322" s="1014">
        <v>56654.14</v>
      </c>
      <c r="F322" s="1012" t="s">
        <v>401</v>
      </c>
      <c r="G322" s="1012" t="s">
        <v>2694</v>
      </c>
      <c r="H322" s="971"/>
      <c r="I322" s="972"/>
      <c r="J322" s="972"/>
      <c r="K322" s="972"/>
      <c r="L322" s="153" t="str">
        <f t="shared" si="18"/>
        <v>6139</v>
      </c>
      <c r="M322" s="154" t="str">
        <f t="shared" si="19"/>
        <v>ASSURANCE GROUPS</v>
      </c>
      <c r="N322" s="155">
        <f>+IF(OR($Q322=Parametres!$G$2,$Q322=Parametres!$G$3),I322,C322)</f>
        <v>48149.79</v>
      </c>
      <c r="O322" s="155">
        <f>+IF(OR($Q322=Parametres!$G$2,$Q322=Parametres!$G$3),J322,D322)</f>
        <v>8504.35</v>
      </c>
      <c r="P322" s="155">
        <f>+IF(OR($Q322=Parametres!$G$2,$Q322=Parametres!$G$3),K322,E322)</f>
        <v>56654.14</v>
      </c>
      <c r="Q322" s="154" t="str">
        <f t="shared" ref="Q322:S337" si="24">+F322</f>
        <v>7-Dépenses</v>
      </c>
      <c r="R322" s="153" t="str">
        <f t="shared" si="24"/>
        <v>6139</v>
      </c>
      <c r="S322" s="154">
        <f t="shared" si="24"/>
        <v>0</v>
      </c>
      <c r="T322" s="156" t="str">
        <f>+VLOOKUP($L322,Data_Validation!$A:$D,1,0)</f>
        <v>6139</v>
      </c>
      <c r="U322" s="156" t="str">
        <f>+VLOOKUP($L322,Data_Validation!$A:$D,3,0)</f>
        <v>Véhicules neufs</v>
      </c>
      <c r="V322" s="156" t="str">
        <f>+VLOOKUP($L322,Data_Validation!$A:$D,4,0)</f>
        <v>Bénéfices marginaux</v>
      </c>
      <c r="W322" s="156" t="str">
        <f>+VLOOKUP($L322,Data_Validation!$A:$E,5,0)</f>
        <v>$</v>
      </c>
      <c r="X322" s="156">
        <f>+VLOOKUP($L322,Data_Validation!$A:$F,6,0)</f>
        <v>0</v>
      </c>
    </row>
    <row r="323" spans="1:24" ht="15" hidden="1" customHeight="1">
      <c r="A323" s="1012" t="s">
        <v>1157</v>
      </c>
      <c r="B323" s="1012" t="s">
        <v>2563</v>
      </c>
      <c r="C323" s="1014">
        <v>1428</v>
      </c>
      <c r="D323" s="1014">
        <v>300</v>
      </c>
      <c r="E323" s="1014">
        <v>1728</v>
      </c>
      <c r="F323" s="1012" t="s">
        <v>401</v>
      </c>
      <c r="G323" s="1012" t="s">
        <v>2563</v>
      </c>
      <c r="H323" s="971"/>
      <c r="I323" s="972"/>
      <c r="J323" s="972"/>
      <c r="K323" s="972"/>
      <c r="L323" s="153" t="str">
        <f t="shared" si="18"/>
        <v>6142</v>
      </c>
      <c r="M323" s="154" t="str">
        <f t="shared" si="19"/>
        <v>FOURNITURES &amp; PETITS OUTILS</v>
      </c>
      <c r="N323" s="155">
        <f>+IF(OR($Q323=Parametres!$G$2,$Q323=Parametres!$G$3),I323,C323)</f>
        <v>1428</v>
      </c>
      <c r="O323" s="155">
        <f>+IF(OR($Q323=Parametres!$G$2,$Q323=Parametres!$G$3),J323,D323)</f>
        <v>300</v>
      </c>
      <c r="P323" s="155">
        <f>+IF(OR($Q323=Parametres!$G$2,$Q323=Parametres!$G$3),K323,E323)</f>
        <v>1728</v>
      </c>
      <c r="Q323" s="154" t="str">
        <f t="shared" si="24"/>
        <v>7-Dépenses</v>
      </c>
      <c r="R323" s="153" t="str">
        <f t="shared" si="24"/>
        <v>6142</v>
      </c>
      <c r="S323" s="154">
        <f t="shared" si="24"/>
        <v>0</v>
      </c>
      <c r="T323" s="156" t="str">
        <f>+VLOOKUP($L323,Data_Validation!$A:$D,1,0)</f>
        <v>6142</v>
      </c>
      <c r="U323" s="156" t="str">
        <f>+VLOOKUP($L323,Data_Validation!$A:$D,3,0)</f>
        <v>Véhicules neufs</v>
      </c>
      <c r="V323" s="156" t="str">
        <f>+VLOOKUP($L323,Data_Validation!$A:$D,4,0)</f>
        <v>Fournitures autres</v>
      </c>
      <c r="W323" s="156" t="str">
        <f>+VLOOKUP($L323,Data_Validation!$A:$E,5,0)</f>
        <v>$</v>
      </c>
      <c r="X323" s="156">
        <f>+VLOOKUP($L323,Data_Validation!$A:$F,6,0)</f>
        <v>0</v>
      </c>
    </row>
    <row r="324" spans="1:24" ht="15" hidden="1" customHeight="1">
      <c r="A324" s="1012" t="s">
        <v>932</v>
      </c>
      <c r="B324" s="1012" t="s">
        <v>2159</v>
      </c>
      <c r="C324" s="1014">
        <v>210</v>
      </c>
      <c r="D324" s="1014">
        <v>35</v>
      </c>
      <c r="E324" s="1014">
        <v>245</v>
      </c>
      <c r="F324" s="1012" t="s">
        <v>401</v>
      </c>
      <c r="G324" s="1012" t="s">
        <v>2159</v>
      </c>
      <c r="H324" s="971"/>
      <c r="I324" s="972"/>
      <c r="J324" s="972"/>
      <c r="K324" s="972"/>
      <c r="L324" s="153" t="str">
        <f t="shared" si="18"/>
        <v>6143</v>
      </c>
      <c r="M324" s="154" t="str">
        <f t="shared" si="19"/>
        <v>UNIFORMES &amp; LESSIVE</v>
      </c>
      <c r="N324" s="155">
        <f>+IF(OR($Q324=Parametres!$G$2,$Q324=Parametres!$G$3),I324,C324)</f>
        <v>210</v>
      </c>
      <c r="O324" s="155">
        <f>+IF(OR($Q324=Parametres!$G$2,$Q324=Parametres!$G$3),J324,D324)</f>
        <v>35</v>
      </c>
      <c r="P324" s="155">
        <f>+IF(OR($Q324=Parametres!$G$2,$Q324=Parametres!$G$3),K324,E324)</f>
        <v>245</v>
      </c>
      <c r="Q324" s="154" t="str">
        <f t="shared" si="24"/>
        <v>7-Dépenses</v>
      </c>
      <c r="R324" s="153" t="str">
        <f t="shared" si="24"/>
        <v>6143</v>
      </c>
      <c r="S324" s="154">
        <f t="shared" si="24"/>
        <v>0</v>
      </c>
      <c r="T324" s="156" t="str">
        <f>+VLOOKUP($L324,Data_Validation!$A:$D,1,0)</f>
        <v>6143</v>
      </c>
      <c r="U324" s="156" t="str">
        <f>+VLOOKUP($L324,Data_Validation!$A:$D,3,0)</f>
        <v>Véhicules neufs</v>
      </c>
      <c r="V324" s="156" t="str">
        <f>+VLOOKUP($L324,Data_Validation!$A:$D,4,0)</f>
        <v>Uniformes</v>
      </c>
      <c r="W324" s="156" t="str">
        <f>+VLOOKUP($L324,Data_Validation!$A:$E,5,0)</f>
        <v>$</v>
      </c>
      <c r="X324" s="156">
        <f>+VLOOKUP($L324,Data_Validation!$A:$F,6,0)</f>
        <v>0</v>
      </c>
    </row>
    <row r="325" spans="1:24" ht="15" hidden="1" customHeight="1">
      <c r="A325" s="1012" t="s">
        <v>934</v>
      </c>
      <c r="B325" s="1012" t="s">
        <v>2561</v>
      </c>
      <c r="C325" s="1014">
        <v>27334.98</v>
      </c>
      <c r="D325" s="1014">
        <v>4555.83</v>
      </c>
      <c r="E325" s="1014">
        <v>31890.81</v>
      </c>
      <c r="F325" s="1012" t="s">
        <v>401</v>
      </c>
      <c r="G325" s="1012" t="s">
        <v>2561</v>
      </c>
      <c r="H325" s="971"/>
      <c r="I325" s="972"/>
      <c r="J325" s="972"/>
      <c r="K325" s="972"/>
      <c r="L325" s="153" t="str">
        <f t="shared" si="18"/>
        <v>6144</v>
      </c>
      <c r="M325" s="154" t="str">
        <f t="shared" si="19"/>
        <v>FORMATION</v>
      </c>
      <c r="N325" s="155">
        <f>+IF(OR($Q325=Parametres!$G$2,$Q325=Parametres!$G$3),I325,C325)</f>
        <v>27334.98</v>
      </c>
      <c r="O325" s="155">
        <f>+IF(OR($Q325=Parametres!$G$2,$Q325=Parametres!$G$3),J325,D325)</f>
        <v>4555.83</v>
      </c>
      <c r="P325" s="155">
        <f>+IF(OR($Q325=Parametres!$G$2,$Q325=Parametres!$G$3),K325,E325)</f>
        <v>31890.81</v>
      </c>
      <c r="Q325" s="154" t="str">
        <f t="shared" si="24"/>
        <v>7-Dépenses</v>
      </c>
      <c r="R325" s="153" t="str">
        <f t="shared" si="24"/>
        <v>6144</v>
      </c>
      <c r="S325" s="154">
        <f t="shared" si="24"/>
        <v>0</v>
      </c>
      <c r="T325" s="156" t="str">
        <f>+VLOOKUP($L325,Data_Validation!$A:$D,1,0)</f>
        <v>6144</v>
      </c>
      <c r="U325" s="156" t="str">
        <f>+VLOOKUP($L325,Data_Validation!$A:$D,3,0)</f>
        <v>Véhicules neufs</v>
      </c>
      <c r="V325" s="156" t="str">
        <f>+VLOOKUP($L325,Data_Validation!$A:$D,4,0)</f>
        <v>Formation</v>
      </c>
      <c r="W325" s="156" t="str">
        <f>+VLOOKUP($L325,Data_Validation!$A:$E,5,0)</f>
        <v>$</v>
      </c>
      <c r="X325" s="156">
        <f>+VLOOKUP($L325,Data_Validation!$A:$F,6,0)</f>
        <v>0</v>
      </c>
    </row>
    <row r="326" spans="1:24" ht="15" hidden="1" customHeight="1">
      <c r="A326" s="1012" t="s">
        <v>1186</v>
      </c>
      <c r="B326" s="1012" t="s">
        <v>2632</v>
      </c>
      <c r="C326" s="1014">
        <v>84722.93</v>
      </c>
      <c r="D326" s="1014">
        <v>15185.61</v>
      </c>
      <c r="E326" s="1014">
        <v>99908.54</v>
      </c>
      <c r="F326" s="1012" t="s">
        <v>401</v>
      </c>
      <c r="G326" s="1012" t="s">
        <v>2632</v>
      </c>
      <c r="H326" s="971"/>
      <c r="I326" s="972"/>
      <c r="J326" s="972"/>
      <c r="K326" s="972"/>
      <c r="L326" s="153" t="str">
        <f t="shared" si="18"/>
        <v>6145</v>
      </c>
      <c r="M326" s="154" t="str">
        <f t="shared" si="19"/>
        <v>VEHICULE DE COMPAGNIE - DEPENS</v>
      </c>
      <c r="N326" s="155">
        <f>+IF(OR($Q326=Parametres!$G$2,$Q326=Parametres!$G$3),I326,C326)</f>
        <v>84722.93</v>
      </c>
      <c r="O326" s="155">
        <f>+IF(OR($Q326=Parametres!$G$2,$Q326=Parametres!$G$3),J326,D326)</f>
        <v>15185.61</v>
      </c>
      <c r="P326" s="155">
        <f>+IF(OR($Q326=Parametres!$G$2,$Q326=Parametres!$G$3),K326,E326)</f>
        <v>99908.54</v>
      </c>
      <c r="Q326" s="154" t="str">
        <f t="shared" si="24"/>
        <v>7-Dépenses</v>
      </c>
      <c r="R326" s="153" t="str">
        <f t="shared" si="24"/>
        <v>6145</v>
      </c>
      <c r="S326" s="154">
        <f t="shared" si="24"/>
        <v>0</v>
      </c>
      <c r="T326" s="156" t="str">
        <f>+VLOOKUP($L326,Data_Validation!$A:$D,1,0)</f>
        <v>6145</v>
      </c>
      <c r="U326" s="156" t="str">
        <f>+VLOOKUP($L326,Data_Validation!$A:$D,3,0)</f>
        <v>Véhicules neufs</v>
      </c>
      <c r="V326" s="156" t="str">
        <f>+VLOOKUP($L326,Data_Validation!$A:$D,4,0)</f>
        <v>Frais véhicules de cie</v>
      </c>
      <c r="W326" s="156" t="str">
        <f>+VLOOKUP($L326,Data_Validation!$A:$E,5,0)</f>
        <v>$</v>
      </c>
      <c r="X326" s="156">
        <f>+VLOOKUP($L326,Data_Validation!$A:$F,6,0)</f>
        <v>0</v>
      </c>
    </row>
    <row r="327" spans="1:24" ht="15.75" hidden="1" customHeight="1">
      <c r="A327" s="1012" t="s">
        <v>1180</v>
      </c>
      <c r="B327" s="1012" t="s">
        <v>2581</v>
      </c>
      <c r="C327" s="1014">
        <v>839.36</v>
      </c>
      <c r="D327" s="1014">
        <v>130.47999999999999</v>
      </c>
      <c r="E327" s="1014">
        <v>969.84</v>
      </c>
      <c r="F327" s="1012" t="s">
        <v>401</v>
      </c>
      <c r="G327" s="1012" t="s">
        <v>2581</v>
      </c>
      <c r="H327" s="971"/>
      <c r="I327" s="972"/>
      <c r="J327" s="972"/>
      <c r="K327" s="972"/>
      <c r="L327" s="153" t="str">
        <f t="shared" si="18"/>
        <v>6147</v>
      </c>
      <c r="M327" s="154" t="str">
        <f t="shared" si="19"/>
        <v>FRET/EXPRESS/TRANS. PAR CAMION</v>
      </c>
      <c r="N327" s="155">
        <f>+IF(OR($Q327=Parametres!$G$2,$Q327=Parametres!$G$3),I327,C327)</f>
        <v>839.36</v>
      </c>
      <c r="O327" s="155">
        <f>+IF(OR($Q327=Parametres!$G$2,$Q327=Parametres!$G$3),J327,D327)</f>
        <v>130.47999999999999</v>
      </c>
      <c r="P327" s="155">
        <f>+IF(OR($Q327=Parametres!$G$2,$Q327=Parametres!$G$3),K327,E327)</f>
        <v>969.84</v>
      </c>
      <c r="Q327" s="154" t="str">
        <f t="shared" si="24"/>
        <v>7-Dépenses</v>
      </c>
      <c r="R327" s="153" t="str">
        <f t="shared" si="24"/>
        <v>6147</v>
      </c>
      <c r="S327" s="154">
        <f t="shared" si="24"/>
        <v>0</v>
      </c>
      <c r="T327" s="156" t="str">
        <f>+VLOOKUP($L327,Data_Validation!$A:$D,1,0)</f>
        <v>6147</v>
      </c>
      <c r="U327" s="156" t="str">
        <f>+VLOOKUP($L327,Data_Validation!$A:$D,3,0)</f>
        <v>Véhicules neufs</v>
      </c>
      <c r="V327" s="156" t="str">
        <f>+VLOOKUP($L327,Data_Validation!$A:$D,4,0)</f>
        <v>Frais postaux</v>
      </c>
      <c r="W327" s="156" t="str">
        <f>+VLOOKUP($L327,Data_Validation!$A:$E,5,0)</f>
        <v>$</v>
      </c>
      <c r="X327" s="156">
        <f>+VLOOKUP($L327,Data_Validation!$A:$F,6,0)</f>
        <v>0</v>
      </c>
    </row>
    <row r="328" spans="1:24" ht="15" hidden="1" customHeight="1">
      <c r="A328" s="1012" t="s">
        <v>1286</v>
      </c>
      <c r="B328" s="1012" t="s">
        <v>2702</v>
      </c>
      <c r="C328" s="1014">
        <v>42007.53</v>
      </c>
      <c r="D328" s="1014">
        <v>6173.26</v>
      </c>
      <c r="E328" s="1014">
        <v>48180.79</v>
      </c>
      <c r="F328" s="1012" t="s">
        <v>401</v>
      </c>
      <c r="G328" s="1012" t="s">
        <v>2702</v>
      </c>
      <c r="H328" s="971"/>
      <c r="I328" s="972"/>
      <c r="J328" s="972"/>
      <c r="K328" s="972"/>
      <c r="L328" s="153" t="str">
        <f t="shared" si="18"/>
        <v>6151</v>
      </c>
      <c r="M328" s="154" t="str">
        <f t="shared" si="19"/>
        <v>DEP. DU TRAITEMENT DES DONNEES</v>
      </c>
      <c r="N328" s="155">
        <f>+IF(OR($Q328=Parametres!$G$2,$Q328=Parametres!$G$3),I328,C328)</f>
        <v>42007.53</v>
      </c>
      <c r="O328" s="155">
        <f>+IF(OR($Q328=Parametres!$G$2,$Q328=Parametres!$G$3),J328,D328)</f>
        <v>6173.26</v>
      </c>
      <c r="P328" s="155">
        <f>+IF(OR($Q328=Parametres!$G$2,$Q328=Parametres!$G$3),K328,E328)</f>
        <v>48180.79</v>
      </c>
      <c r="Q328" s="154" t="str">
        <f t="shared" si="24"/>
        <v>7-Dépenses</v>
      </c>
      <c r="R328" s="153" t="str">
        <f t="shared" si="24"/>
        <v>6151</v>
      </c>
      <c r="S328" s="154">
        <f t="shared" si="24"/>
        <v>0</v>
      </c>
      <c r="T328" s="156" t="str">
        <f>+VLOOKUP($L328,Data_Validation!$A:$D,1,0)</f>
        <v>6151</v>
      </c>
      <c r="U328" s="156" t="str">
        <f>+VLOOKUP($L328,Data_Validation!$A:$D,3,0)</f>
        <v>Véhicules neufs</v>
      </c>
      <c r="V328" s="156" t="str">
        <f>+VLOOKUP($L328,Data_Validation!$A:$D,4,0)</f>
        <v>Informatique</v>
      </c>
      <c r="W328" s="156" t="str">
        <f>+VLOOKUP($L328,Data_Validation!$A:$E,5,0)</f>
        <v>$</v>
      </c>
      <c r="X328" s="156">
        <f>+VLOOKUP($L328,Data_Validation!$A:$F,6,0)</f>
        <v>0</v>
      </c>
    </row>
    <row r="329" spans="1:24" ht="15" hidden="1" customHeight="1">
      <c r="A329" s="1012" t="s">
        <v>1206</v>
      </c>
      <c r="B329" s="1012" t="s">
        <v>2588</v>
      </c>
      <c r="C329" s="1014">
        <v>3552</v>
      </c>
      <c r="D329" s="1014">
        <v>592</v>
      </c>
      <c r="E329" s="1014">
        <v>4144</v>
      </c>
      <c r="F329" s="1012" t="s">
        <v>401</v>
      </c>
      <c r="G329" s="1012" t="s">
        <v>2588</v>
      </c>
      <c r="H329" s="971"/>
      <c r="I329" s="972"/>
      <c r="J329" s="972"/>
      <c r="K329" s="972"/>
      <c r="L329" s="153" t="str">
        <f t="shared" si="18"/>
        <v>6152</v>
      </c>
      <c r="M329" s="154" t="str">
        <f t="shared" si="19"/>
        <v>PAPETERIE</v>
      </c>
      <c r="N329" s="155">
        <f>+IF(OR($Q329=Parametres!$G$2,$Q329=Parametres!$G$3),I329,C329)</f>
        <v>3552</v>
      </c>
      <c r="O329" s="155">
        <f>+IF(OR($Q329=Parametres!$G$2,$Q329=Parametres!$G$3),J329,D329)</f>
        <v>592</v>
      </c>
      <c r="P329" s="155">
        <f>+IF(OR($Q329=Parametres!$G$2,$Q329=Parametres!$G$3),K329,E329)</f>
        <v>4144</v>
      </c>
      <c r="Q329" s="154" t="str">
        <f t="shared" si="24"/>
        <v>7-Dépenses</v>
      </c>
      <c r="R329" s="153" t="str">
        <f t="shared" si="24"/>
        <v>6152</v>
      </c>
      <c r="S329" s="154">
        <f t="shared" si="24"/>
        <v>0</v>
      </c>
      <c r="T329" s="156" t="str">
        <f>+VLOOKUP($L329,Data_Validation!$A:$D,1,0)</f>
        <v>6152</v>
      </c>
      <c r="U329" s="156" t="str">
        <f>+VLOOKUP($L329,Data_Validation!$A:$D,3,0)</f>
        <v>Véhicules neufs</v>
      </c>
      <c r="V329" s="156" t="str">
        <f>+VLOOKUP($L329,Data_Validation!$A:$D,4,0)</f>
        <v>Papeterie</v>
      </c>
      <c r="W329" s="156" t="str">
        <f>+VLOOKUP($L329,Data_Validation!$A:$E,5,0)</f>
        <v>$</v>
      </c>
      <c r="X329" s="156">
        <f>+VLOOKUP($L329,Data_Validation!$A:$F,6,0)</f>
        <v>0</v>
      </c>
    </row>
    <row r="330" spans="1:24" ht="15" hidden="1" customHeight="1">
      <c r="A330" s="1012" t="s">
        <v>1154</v>
      </c>
      <c r="B330" s="1012" t="s">
        <v>2592</v>
      </c>
      <c r="C330" s="1014">
        <v>3214.37</v>
      </c>
      <c r="D330" s="1014">
        <v>644.29999999999995</v>
      </c>
      <c r="E330" s="1014">
        <v>3858.67</v>
      </c>
      <c r="F330" s="1012" t="s">
        <v>401</v>
      </c>
      <c r="G330" s="1012" t="s">
        <v>2592</v>
      </c>
      <c r="H330" s="971"/>
      <c r="I330" s="972"/>
      <c r="J330" s="972"/>
      <c r="K330" s="972"/>
      <c r="L330" s="153" t="str">
        <f t="shared" si="18"/>
        <v>6153</v>
      </c>
      <c r="M330" s="154" t="str">
        <f t="shared" si="19"/>
        <v>TELEPHONE ET TELEX</v>
      </c>
      <c r="N330" s="155">
        <f>+IF(OR($Q330=Parametres!$G$2,$Q330=Parametres!$G$3),I330,C330)</f>
        <v>3214.37</v>
      </c>
      <c r="O330" s="155">
        <f>+IF(OR($Q330=Parametres!$G$2,$Q330=Parametres!$G$3),J330,D330)</f>
        <v>644.29999999999995</v>
      </c>
      <c r="P330" s="155">
        <f>+IF(OR($Q330=Parametres!$G$2,$Q330=Parametres!$G$3),K330,E330)</f>
        <v>3858.67</v>
      </c>
      <c r="Q330" s="154" t="str">
        <f t="shared" si="24"/>
        <v>7-Dépenses</v>
      </c>
      <c r="R330" s="153" t="str">
        <f t="shared" si="24"/>
        <v>6153</v>
      </c>
      <c r="S330" s="154">
        <f t="shared" si="24"/>
        <v>0</v>
      </c>
      <c r="T330" s="156" t="str">
        <f>+VLOOKUP($L330,Data_Validation!$A:$D,1,0)</f>
        <v>6153</v>
      </c>
      <c r="U330" s="156" t="str">
        <f>+VLOOKUP($L330,Data_Validation!$A:$D,3,0)</f>
        <v>Véhicules neufs</v>
      </c>
      <c r="V330" s="156" t="str">
        <f>+VLOOKUP($L330,Data_Validation!$A:$D,4,0)</f>
        <v>Téléphone</v>
      </c>
      <c r="W330" s="156" t="str">
        <f>+VLOOKUP($L330,Data_Validation!$A:$E,5,0)</f>
        <v>$</v>
      </c>
      <c r="X330" s="156">
        <f>+VLOOKUP($L330,Data_Validation!$A:$F,6,0)</f>
        <v>0</v>
      </c>
    </row>
    <row r="331" spans="1:24" ht="15" hidden="1" customHeight="1">
      <c r="A331" s="1012" t="s">
        <v>1237</v>
      </c>
      <c r="B331" s="1012" t="s">
        <v>2637</v>
      </c>
      <c r="C331" s="1014">
        <v>10285.790000000001</v>
      </c>
      <c r="D331" s="1014">
        <v>1632</v>
      </c>
      <c r="E331" s="1014">
        <v>11917.79</v>
      </c>
      <c r="F331" s="1012" t="s">
        <v>401</v>
      </c>
      <c r="G331" s="1012" t="s">
        <v>2637</v>
      </c>
      <c r="H331" s="971"/>
      <c r="I331" s="972"/>
      <c r="J331" s="972"/>
      <c r="K331" s="972"/>
      <c r="L331" s="153" t="str">
        <f t="shared" si="18"/>
        <v>6155</v>
      </c>
      <c r="M331" s="154" t="str">
        <f t="shared" si="19"/>
        <v>DEPENSES DIVERS</v>
      </c>
      <c r="N331" s="155">
        <f>+IF(OR($Q331=Parametres!$G$2,$Q331=Parametres!$G$3),I331,C331)</f>
        <v>10285.790000000001</v>
      </c>
      <c r="O331" s="155">
        <f>+IF(OR($Q331=Parametres!$G$2,$Q331=Parametres!$G$3),J331,D331)</f>
        <v>1632</v>
      </c>
      <c r="P331" s="155">
        <f>+IF(OR($Q331=Parametres!$G$2,$Q331=Parametres!$G$3),K331,E331)</f>
        <v>11917.79</v>
      </c>
      <c r="Q331" s="154" t="str">
        <f t="shared" si="24"/>
        <v>7-Dépenses</v>
      </c>
      <c r="R331" s="153" t="str">
        <f t="shared" si="24"/>
        <v>6155</v>
      </c>
      <c r="S331" s="154">
        <f t="shared" si="24"/>
        <v>0</v>
      </c>
      <c r="T331" s="156" t="str">
        <f>+VLOOKUP($L331,Data_Validation!$A:$D,1,0)</f>
        <v>6155</v>
      </c>
      <c r="U331" s="156" t="str">
        <f>+VLOOKUP($L331,Data_Validation!$A:$D,3,0)</f>
        <v>Véhicules neufs</v>
      </c>
      <c r="V331" s="156" t="str">
        <f>+VLOOKUP($L331,Data_Validation!$A:$D,4,0)</f>
        <v>Divers</v>
      </c>
      <c r="W331" s="156" t="str">
        <f>+VLOOKUP($L331,Data_Validation!$A:$E,5,0)</f>
        <v>$</v>
      </c>
      <c r="X331" s="156">
        <f>+VLOOKUP($L331,Data_Validation!$A:$F,6,0)</f>
        <v>0</v>
      </c>
    </row>
    <row r="332" spans="1:24" ht="15" hidden="1" customHeight="1">
      <c r="A332" s="1012" t="s">
        <v>1315</v>
      </c>
      <c r="B332" s="1012" t="s">
        <v>2470</v>
      </c>
      <c r="C332" s="1014">
        <v>11667.84</v>
      </c>
      <c r="D332" s="1014">
        <v>1944.64</v>
      </c>
      <c r="E332" s="1014">
        <v>13612.48</v>
      </c>
      <c r="F332" s="1012" t="s">
        <v>401</v>
      </c>
      <c r="G332" s="1012" t="s">
        <v>2470</v>
      </c>
      <c r="H332" s="971"/>
      <c r="I332" s="972"/>
      <c r="J332" s="972"/>
      <c r="K332" s="972"/>
      <c r="L332" s="153" t="str">
        <f t="shared" si="18"/>
        <v>6156</v>
      </c>
      <c r="M332" s="154" t="str">
        <f t="shared" si="19"/>
        <v>FRAIS REPRESENTATION - NEUF</v>
      </c>
      <c r="N332" s="155">
        <f>+IF(OR($Q332=Parametres!$G$2,$Q332=Parametres!$G$3),I332,C332)</f>
        <v>11667.84</v>
      </c>
      <c r="O332" s="155">
        <f>+IF(OR($Q332=Parametres!$G$2,$Q332=Parametres!$G$3),J332,D332)</f>
        <v>1944.64</v>
      </c>
      <c r="P332" s="155">
        <f>+IF(OR($Q332=Parametres!$G$2,$Q332=Parametres!$G$3),K332,E332)</f>
        <v>13612.48</v>
      </c>
      <c r="Q332" s="154" t="str">
        <f t="shared" si="24"/>
        <v>7-Dépenses</v>
      </c>
      <c r="R332" s="153" t="str">
        <f t="shared" si="24"/>
        <v>6156</v>
      </c>
      <c r="S332" s="154">
        <f t="shared" si="24"/>
        <v>0</v>
      </c>
      <c r="T332" s="156" t="str">
        <f>+VLOOKUP($L332,Data_Validation!$A:$D,1,0)</f>
        <v>6156</v>
      </c>
      <c r="U332" s="156" t="str">
        <f>+VLOOKUP($L332,Data_Validation!$A:$D,3,0)</f>
        <v>Véhicules neufs</v>
      </c>
      <c r="V332" s="156" t="str">
        <f>+VLOOKUP($L332,Data_Validation!$A:$D,4,0)</f>
        <v>Frais de déplacement</v>
      </c>
      <c r="W332" s="156" t="str">
        <f>+VLOOKUP($L332,Data_Validation!$A:$E,5,0)</f>
        <v>$</v>
      </c>
      <c r="X332" s="156">
        <f>+VLOOKUP($L332,Data_Validation!$A:$F,6,0)</f>
        <v>0</v>
      </c>
    </row>
    <row r="333" spans="1:24" ht="15.75" hidden="1" customHeight="1">
      <c r="A333" s="1012" t="s">
        <v>1308</v>
      </c>
      <c r="B333" s="1012" t="s">
        <v>2662</v>
      </c>
      <c r="C333" s="1014">
        <v>44890.75</v>
      </c>
      <c r="D333" s="1014">
        <v>3104.4</v>
      </c>
      <c r="E333" s="1014">
        <v>47995.15</v>
      </c>
      <c r="F333" s="1012" t="s">
        <v>401</v>
      </c>
      <c r="G333" s="1012" t="s">
        <v>2662</v>
      </c>
      <c r="H333" s="971"/>
      <c r="I333" s="972"/>
      <c r="J333" s="972"/>
      <c r="K333" s="972"/>
      <c r="L333" s="153" t="str">
        <f t="shared" si="18"/>
        <v>6159</v>
      </c>
      <c r="M333" s="154" t="str">
        <f t="shared" si="19"/>
        <v>SERVICE EXTERIEUR</v>
      </c>
      <c r="N333" s="155">
        <f>+IF(OR($Q333=Parametres!$G$2,$Q333=Parametres!$G$3),I333,C333)</f>
        <v>44890.75</v>
      </c>
      <c r="O333" s="155">
        <f>+IF(OR($Q333=Parametres!$G$2,$Q333=Parametres!$G$3),J333,D333)</f>
        <v>3104.4</v>
      </c>
      <c r="P333" s="155">
        <f>+IF(OR($Q333=Parametres!$G$2,$Q333=Parametres!$G$3),K333,E333)</f>
        <v>47995.15</v>
      </c>
      <c r="Q333" s="154" t="str">
        <f t="shared" si="24"/>
        <v>7-Dépenses</v>
      </c>
      <c r="R333" s="153" t="str">
        <f t="shared" si="24"/>
        <v>6159</v>
      </c>
      <c r="S333" s="154">
        <f t="shared" si="24"/>
        <v>0</v>
      </c>
      <c r="T333" s="156" t="str">
        <f>+VLOOKUP($L333,Data_Validation!$A:$D,1,0)</f>
        <v>6159</v>
      </c>
      <c r="U333" s="156" t="str">
        <f>+VLOOKUP($L333,Data_Validation!$A:$D,3,0)</f>
        <v>Véhicules neufs</v>
      </c>
      <c r="V333" s="156" t="str">
        <f>+VLOOKUP($L333,Data_Validation!$A:$D,4,0)</f>
        <v>Services extérieurs</v>
      </c>
      <c r="W333" s="156" t="str">
        <f>+VLOOKUP($L333,Data_Validation!$A:$E,5,0)</f>
        <v>$</v>
      </c>
      <c r="X333" s="156">
        <f>+VLOOKUP($L333,Data_Validation!$A:$F,6,0)</f>
        <v>0</v>
      </c>
    </row>
    <row r="334" spans="1:24" ht="15.75" hidden="1" customHeight="1">
      <c r="A334" s="1012" t="s">
        <v>1333</v>
      </c>
      <c r="B334" s="1012" t="s">
        <v>2653</v>
      </c>
      <c r="C334" s="1014">
        <v>17280</v>
      </c>
      <c r="D334" s="1014">
        <v>2963.84</v>
      </c>
      <c r="E334" s="1014">
        <v>20243.84</v>
      </c>
      <c r="F334" s="1012" t="s">
        <v>401</v>
      </c>
      <c r="G334" s="1012" t="s">
        <v>2653</v>
      </c>
      <c r="H334" s="971"/>
      <c r="I334" s="972"/>
      <c r="J334" s="972"/>
      <c r="K334" s="972"/>
      <c r="L334" s="153" t="str">
        <f t="shared" si="18"/>
        <v>6161</v>
      </c>
      <c r="M334" s="154" t="str">
        <f t="shared" si="19"/>
        <v>DEPRECIATION EQUIP. &amp; FIXTURES</v>
      </c>
      <c r="N334" s="155">
        <f>+IF(OR($Q334=Parametres!$G$2,$Q334=Parametres!$G$3),I334,C334)</f>
        <v>17280</v>
      </c>
      <c r="O334" s="155">
        <f>+IF(OR($Q334=Parametres!$G$2,$Q334=Parametres!$G$3),J334,D334)</f>
        <v>2963.84</v>
      </c>
      <c r="P334" s="155">
        <f>+IF(OR($Q334=Parametres!$G$2,$Q334=Parametres!$G$3),K334,E334)</f>
        <v>20243.84</v>
      </c>
      <c r="Q334" s="154" t="str">
        <f t="shared" si="24"/>
        <v>7-Dépenses</v>
      </c>
      <c r="R334" s="153" t="str">
        <f t="shared" si="24"/>
        <v>6161</v>
      </c>
      <c r="S334" s="154">
        <f t="shared" si="24"/>
        <v>0</v>
      </c>
      <c r="T334" s="156" t="str">
        <f>+VLOOKUP($L334,Data_Validation!$A:$D,1,0)</f>
        <v>6161</v>
      </c>
      <c r="U334" s="156" t="str">
        <f>+VLOOKUP($L334,Data_Validation!$A:$D,3,0)</f>
        <v>Véhicules neufs</v>
      </c>
      <c r="V334" s="156" t="str">
        <f>+VLOOKUP($L334,Data_Validation!$A:$D,4,0)</f>
        <v>Amortissement</v>
      </c>
      <c r="W334" s="156" t="str">
        <f>+VLOOKUP($L334,Data_Validation!$A:$E,5,0)</f>
        <v>$</v>
      </c>
      <c r="X334" s="156">
        <f>+VLOOKUP($L334,Data_Validation!$A:$F,6,0)</f>
        <v>0</v>
      </c>
    </row>
    <row r="335" spans="1:24" ht="15" hidden="1" customHeight="1">
      <c r="A335" s="1012" t="s">
        <v>936</v>
      </c>
      <c r="B335" s="1012" t="s">
        <v>2463</v>
      </c>
      <c r="C335" s="1014">
        <v>768</v>
      </c>
      <c r="D335" s="1014">
        <v>128</v>
      </c>
      <c r="E335" s="1014">
        <v>896</v>
      </c>
      <c r="F335" s="1012" t="s">
        <v>401</v>
      </c>
      <c r="G335" s="1012" t="s">
        <v>2463</v>
      </c>
      <c r="H335" s="971"/>
      <c r="I335" s="972"/>
      <c r="J335" s="972"/>
      <c r="K335" s="972"/>
      <c r="L335" s="153" t="str">
        <f t="shared" si="18"/>
        <v>6162</v>
      </c>
      <c r="M335" s="154" t="str">
        <f t="shared" si="19"/>
        <v>LOCATION D'EQUIPEMENTS</v>
      </c>
      <c r="N335" s="155">
        <f>+IF(OR($Q335=Parametres!$G$2,$Q335=Parametres!$G$3),I335,C335)</f>
        <v>768</v>
      </c>
      <c r="O335" s="155">
        <f>+IF(OR($Q335=Parametres!$G$2,$Q335=Parametres!$G$3),J335,D335)</f>
        <v>128</v>
      </c>
      <c r="P335" s="155">
        <f>+IF(OR($Q335=Parametres!$G$2,$Q335=Parametres!$G$3),K335,E335)</f>
        <v>896</v>
      </c>
      <c r="Q335" s="154" t="str">
        <f t="shared" si="24"/>
        <v>7-Dépenses</v>
      </c>
      <c r="R335" s="153" t="str">
        <f t="shared" si="24"/>
        <v>6162</v>
      </c>
      <c r="S335" s="154">
        <f t="shared" si="24"/>
        <v>0</v>
      </c>
      <c r="T335" s="156" t="str">
        <f>+VLOOKUP($L335,Data_Validation!$A:$D,1,0)</f>
        <v>6162</v>
      </c>
      <c r="U335" s="156" t="str">
        <f>+VLOOKUP($L335,Data_Validation!$A:$D,3,0)</f>
        <v>Véhicules neufs</v>
      </c>
      <c r="V335" s="156" t="str">
        <f>+VLOOKUP($L335,Data_Validation!$A:$D,4,0)</f>
        <v>Location équipement</v>
      </c>
      <c r="W335" s="156" t="str">
        <f>+VLOOKUP($L335,Data_Validation!$A:$E,5,0)</f>
        <v>$</v>
      </c>
      <c r="X335" s="156">
        <f>+VLOOKUP($L335,Data_Validation!$A:$F,6,0)</f>
        <v>0</v>
      </c>
    </row>
    <row r="336" spans="1:24" ht="15" hidden="1" customHeight="1">
      <c r="A336" s="1012" t="s">
        <v>1332</v>
      </c>
      <c r="B336" s="1012" t="s">
        <v>2604</v>
      </c>
      <c r="C336" s="1014">
        <v>7046.4</v>
      </c>
      <c r="D336" s="1014">
        <v>1174.4000000000001</v>
      </c>
      <c r="E336" s="1014">
        <v>8220.7999999999993</v>
      </c>
      <c r="F336" s="1012" t="s">
        <v>401</v>
      </c>
      <c r="G336" s="1012" t="s">
        <v>2604</v>
      </c>
      <c r="H336" s="971"/>
      <c r="I336" s="972"/>
      <c r="J336" s="972"/>
      <c r="K336" s="972"/>
      <c r="L336" s="153" t="str">
        <f t="shared" si="18"/>
        <v>6181</v>
      </c>
      <c r="M336" s="154" t="str">
        <f t="shared" si="19"/>
        <v>ELECTRICITE CHAUFFAGE</v>
      </c>
      <c r="N336" s="155">
        <f>+IF(OR($Q336=Parametres!$G$2,$Q336=Parametres!$G$3),I336,C336)</f>
        <v>7046.4</v>
      </c>
      <c r="O336" s="155">
        <f>+IF(OR($Q336=Parametres!$G$2,$Q336=Parametres!$G$3),J336,D336)</f>
        <v>1174.4000000000001</v>
      </c>
      <c r="P336" s="155">
        <f>+IF(OR($Q336=Parametres!$G$2,$Q336=Parametres!$G$3),K336,E336)</f>
        <v>8220.7999999999993</v>
      </c>
      <c r="Q336" s="154" t="str">
        <f t="shared" si="24"/>
        <v>7-Dépenses</v>
      </c>
      <c r="R336" s="153" t="str">
        <f t="shared" si="24"/>
        <v>6181</v>
      </c>
      <c r="S336" s="154">
        <f t="shared" si="24"/>
        <v>0</v>
      </c>
      <c r="T336" s="156" t="str">
        <f>+VLOOKUP($L336,Data_Validation!$A:$D,1,0)</f>
        <v>6181</v>
      </c>
      <c r="U336" s="156" t="str">
        <f>+VLOOKUP($L336,Data_Validation!$A:$D,3,0)</f>
        <v>Véhicules neufs</v>
      </c>
      <c r="V336" s="156" t="str">
        <f>+VLOOKUP($L336,Data_Validation!$A:$D,4,0)</f>
        <v>Chauffage, éclairage</v>
      </c>
      <c r="W336" s="156" t="str">
        <f>+VLOOKUP($L336,Data_Validation!$A:$E,5,0)</f>
        <v>$</v>
      </c>
      <c r="X336" s="156">
        <f>+VLOOKUP($L336,Data_Validation!$A:$F,6,0)</f>
        <v>0</v>
      </c>
    </row>
    <row r="337" spans="1:24" ht="15" hidden="1" customHeight="1">
      <c r="A337" s="1012" t="s">
        <v>1469</v>
      </c>
      <c r="B337" s="1012" t="s">
        <v>2709</v>
      </c>
      <c r="C337" s="1014">
        <v>47500</v>
      </c>
      <c r="D337" s="1014">
        <v>10453.27</v>
      </c>
      <c r="E337" s="1014">
        <v>57953.27</v>
      </c>
      <c r="F337" s="1012" t="s">
        <v>401</v>
      </c>
      <c r="G337" s="1012" t="s">
        <v>2709</v>
      </c>
      <c r="H337" s="971"/>
      <c r="I337" s="973"/>
      <c r="J337" s="973"/>
      <c r="K337" s="973"/>
      <c r="L337" s="153" t="str">
        <f t="shared" si="18"/>
        <v>6182</v>
      </c>
      <c r="M337" s="154" t="str">
        <f t="shared" si="19"/>
        <v>LOYER NEUFS</v>
      </c>
      <c r="N337" s="155">
        <f>+IF(OR($Q337=Parametres!$G$2,$Q337=Parametres!$G$3),I337,C337)</f>
        <v>47500</v>
      </c>
      <c r="O337" s="155">
        <f>+IF(OR($Q337=Parametres!$G$2,$Q337=Parametres!$G$3),J337,D337)</f>
        <v>10453.27</v>
      </c>
      <c r="P337" s="155">
        <f>+IF(OR($Q337=Parametres!$G$2,$Q337=Parametres!$G$3),K337,E337)</f>
        <v>57953.27</v>
      </c>
      <c r="Q337" s="154" t="str">
        <f t="shared" si="24"/>
        <v>7-Dépenses</v>
      </c>
      <c r="R337" s="153" t="str">
        <f t="shared" si="24"/>
        <v>6182</v>
      </c>
      <c r="S337" s="154">
        <f t="shared" si="24"/>
        <v>0</v>
      </c>
      <c r="T337" s="156" t="str">
        <f>+VLOOKUP($L337,Data_Validation!$A:$D,1,0)</f>
        <v>6182</v>
      </c>
      <c r="U337" s="156" t="str">
        <f>+VLOOKUP($L337,Data_Validation!$A:$D,3,0)</f>
        <v>Véhicules neufs</v>
      </c>
      <c r="V337" s="156" t="str">
        <f>+VLOOKUP($L337,Data_Validation!$A:$D,4,0)</f>
        <v>Loyer</v>
      </c>
      <c r="W337" s="156" t="str">
        <f>+VLOOKUP($L337,Data_Validation!$A:$E,5,0)</f>
        <v>$</v>
      </c>
      <c r="X337" s="156">
        <f>+VLOOKUP($L337,Data_Validation!$A:$F,6,0)</f>
        <v>0</v>
      </c>
    </row>
    <row r="338" spans="1:24" ht="15.75" hidden="1" customHeight="1">
      <c r="A338" s="1012" t="s">
        <v>1366</v>
      </c>
      <c r="B338" s="1012" t="s">
        <v>2594</v>
      </c>
      <c r="C338" s="1014">
        <v>2880</v>
      </c>
      <c r="D338" s="1014">
        <v>480</v>
      </c>
      <c r="E338" s="1014">
        <v>3360</v>
      </c>
      <c r="F338" s="1012" t="s">
        <v>401</v>
      </c>
      <c r="G338" s="1012" t="s">
        <v>2594</v>
      </c>
      <c r="H338" s="971"/>
      <c r="I338" s="973"/>
      <c r="J338" s="973"/>
      <c r="K338" s="973"/>
      <c r="L338" s="153" t="str">
        <f t="shared" si="18"/>
        <v>6186</v>
      </c>
      <c r="M338" s="154" t="str">
        <f t="shared" si="19"/>
        <v>ASSURANCE BATIMENT</v>
      </c>
      <c r="N338" s="155">
        <f>+IF(OR($Q338=Parametres!$G$2,$Q338=Parametres!$G$3),I338,C338)</f>
        <v>2880</v>
      </c>
      <c r="O338" s="155">
        <f>+IF(OR($Q338=Parametres!$G$2,$Q338=Parametres!$G$3),J338,D338)</f>
        <v>480</v>
      </c>
      <c r="P338" s="155">
        <f>+IF(OR($Q338=Parametres!$G$2,$Q338=Parametres!$G$3),K338,E338)</f>
        <v>3360</v>
      </c>
      <c r="Q338" s="154" t="str">
        <f t="shared" ref="Q338:S353" si="25">+F338</f>
        <v>7-Dépenses</v>
      </c>
      <c r="R338" s="153" t="str">
        <f t="shared" si="25"/>
        <v>6186</v>
      </c>
      <c r="S338" s="154">
        <f t="shared" si="25"/>
        <v>0</v>
      </c>
      <c r="T338" s="156" t="str">
        <f>+VLOOKUP($L338,Data_Validation!$A:$D,1,0)</f>
        <v>6186</v>
      </c>
      <c r="U338" s="156" t="str">
        <f>+VLOOKUP($L338,Data_Validation!$A:$D,3,0)</f>
        <v>Véhicules neufs</v>
      </c>
      <c r="V338" s="156" t="str">
        <f>+VLOOKUP($L338,Data_Validation!$A:$D,4,0)</f>
        <v>Assurances</v>
      </c>
      <c r="W338" s="156" t="str">
        <f>+VLOOKUP($L338,Data_Validation!$A:$E,5,0)</f>
        <v>$</v>
      </c>
      <c r="X338" s="156">
        <f>+VLOOKUP($L338,Data_Validation!$A:$F,6,0)</f>
        <v>0</v>
      </c>
    </row>
    <row r="339" spans="1:24" ht="15" hidden="1" customHeight="1">
      <c r="A339" s="1012" t="s">
        <v>1362</v>
      </c>
      <c r="B339" s="1012" t="s">
        <v>2614</v>
      </c>
      <c r="C339" s="1014">
        <v>9024</v>
      </c>
      <c r="D339" s="1014">
        <v>1504</v>
      </c>
      <c r="E339" s="1014">
        <v>10528</v>
      </c>
      <c r="F339" s="1012" t="s">
        <v>401</v>
      </c>
      <c r="G339" s="1012" t="s">
        <v>2614</v>
      </c>
      <c r="H339" s="971"/>
      <c r="I339" s="973"/>
      <c r="J339" s="973"/>
      <c r="K339" s="973"/>
      <c r="L339" s="153" t="str">
        <f t="shared" si="18"/>
        <v>6187</v>
      </c>
      <c r="M339" s="154" t="str">
        <f t="shared" si="19"/>
        <v>TAXE SUR PROPRIETE</v>
      </c>
      <c r="N339" s="155">
        <f>+IF(OR($Q339=Parametres!$G$2,$Q339=Parametres!$G$3),I339,C339)</f>
        <v>9024</v>
      </c>
      <c r="O339" s="155">
        <f>+IF(OR($Q339=Parametres!$G$2,$Q339=Parametres!$G$3),J339,D339)</f>
        <v>1504</v>
      </c>
      <c r="P339" s="155">
        <f>+IF(OR($Q339=Parametres!$G$2,$Q339=Parametres!$G$3),K339,E339)</f>
        <v>10528</v>
      </c>
      <c r="Q339" s="154" t="str">
        <f t="shared" si="25"/>
        <v>7-Dépenses</v>
      </c>
      <c r="R339" s="153" t="str">
        <f t="shared" si="25"/>
        <v>6187</v>
      </c>
      <c r="S339" s="154">
        <f t="shared" si="25"/>
        <v>0</v>
      </c>
      <c r="T339" s="156" t="str">
        <f>+VLOOKUP($L339,Data_Validation!$A:$D,1,0)</f>
        <v>6187</v>
      </c>
      <c r="U339" s="156" t="str">
        <f>+VLOOKUP($L339,Data_Validation!$A:$D,3,0)</f>
        <v>Véhicules neufs</v>
      </c>
      <c r="V339" s="156" t="str">
        <f>+VLOOKUP($L339,Data_Validation!$A:$D,4,0)</f>
        <v>Taxes foncières</v>
      </c>
      <c r="W339" s="156" t="str">
        <f>+VLOOKUP($L339,Data_Validation!$A:$E,5,0)</f>
        <v>$</v>
      </c>
      <c r="X339" s="156">
        <f>+VLOOKUP($L339,Data_Validation!$A:$F,6,0)</f>
        <v>0</v>
      </c>
    </row>
    <row r="340" spans="1:24" ht="15" hidden="1" customHeight="1">
      <c r="A340" s="1012" t="s">
        <v>1296</v>
      </c>
      <c r="B340" s="1012" t="s">
        <v>2597</v>
      </c>
      <c r="C340" s="1014">
        <v>6048</v>
      </c>
      <c r="D340" s="1014">
        <v>1008</v>
      </c>
      <c r="E340" s="1014">
        <v>7056</v>
      </c>
      <c r="F340" s="1012" t="s">
        <v>401</v>
      </c>
      <c r="G340" s="1012" t="s">
        <v>2597</v>
      </c>
      <c r="H340" s="971"/>
      <c r="I340" s="973"/>
      <c r="J340" s="973"/>
      <c r="K340" s="973"/>
      <c r="L340" s="153" t="str">
        <f t="shared" si="18"/>
        <v>6193</v>
      </c>
      <c r="M340" s="154" t="str">
        <f t="shared" si="19"/>
        <v>TAXES AUTRES PERMIS LICENCE</v>
      </c>
      <c r="N340" s="155">
        <f>+IF(OR($Q340=Parametres!$G$2,$Q340=Parametres!$G$3),I340,C340)</f>
        <v>6048</v>
      </c>
      <c r="O340" s="155">
        <f>+IF(OR($Q340=Parametres!$G$2,$Q340=Parametres!$G$3),J340,D340)</f>
        <v>1008</v>
      </c>
      <c r="P340" s="155">
        <f>+IF(OR($Q340=Parametres!$G$2,$Q340=Parametres!$G$3),K340,E340)</f>
        <v>7056</v>
      </c>
      <c r="Q340" s="154" t="str">
        <f t="shared" si="25"/>
        <v>7-Dépenses</v>
      </c>
      <c r="R340" s="153" t="str">
        <f t="shared" si="25"/>
        <v>6193</v>
      </c>
      <c r="S340" s="154">
        <f t="shared" si="25"/>
        <v>0</v>
      </c>
      <c r="T340" s="156" t="str">
        <f>+VLOOKUP($L340,Data_Validation!$A:$D,1,0)</f>
        <v>6193</v>
      </c>
      <c r="U340" s="156" t="str">
        <f>+VLOOKUP($L340,Data_Validation!$A:$D,3,0)</f>
        <v>Véhicules neufs</v>
      </c>
      <c r="V340" s="156" t="str">
        <f>+VLOOKUP($L340,Data_Validation!$A:$D,4,0)</f>
        <v>Taxes d`affaires</v>
      </c>
      <c r="W340" s="156" t="str">
        <f>+VLOOKUP($L340,Data_Validation!$A:$E,5,0)</f>
        <v>$</v>
      </c>
      <c r="X340" s="156">
        <f>+VLOOKUP($L340,Data_Validation!$A:$F,6,0)</f>
        <v>0</v>
      </c>
    </row>
    <row r="341" spans="1:24" ht="15" hidden="1" customHeight="1">
      <c r="A341" s="1012" t="s">
        <v>1395</v>
      </c>
      <c r="B341" s="1012" t="s">
        <v>2635</v>
      </c>
      <c r="C341" s="1014">
        <v>15408</v>
      </c>
      <c r="D341" s="1014">
        <v>2568</v>
      </c>
      <c r="E341" s="1014">
        <v>17976</v>
      </c>
      <c r="F341" s="1012" t="s">
        <v>401</v>
      </c>
      <c r="G341" s="1012" t="s">
        <v>2635</v>
      </c>
      <c r="H341" s="971"/>
      <c r="I341" s="974"/>
      <c r="J341" s="974"/>
      <c r="K341" s="974"/>
      <c r="L341" s="153" t="str">
        <f t="shared" si="18"/>
        <v>6194</v>
      </c>
      <c r="M341" s="154" t="str">
        <f t="shared" si="19"/>
        <v>HONORAIRES PROFESSIONNELS</v>
      </c>
      <c r="N341" s="155">
        <f>+IF(OR($Q341=Parametres!$G$2,$Q341=Parametres!$G$3),I341,C341)</f>
        <v>15408</v>
      </c>
      <c r="O341" s="155">
        <f>+IF(OR($Q341=Parametres!$G$2,$Q341=Parametres!$G$3),J341,D341)</f>
        <v>2568</v>
      </c>
      <c r="P341" s="155">
        <f>+IF(OR($Q341=Parametres!$G$2,$Q341=Parametres!$G$3),K341,E341)</f>
        <v>17976</v>
      </c>
      <c r="Q341" s="154" t="str">
        <f t="shared" si="25"/>
        <v>7-Dépenses</v>
      </c>
      <c r="R341" s="153" t="str">
        <f t="shared" si="25"/>
        <v>6194</v>
      </c>
      <c r="S341" s="154">
        <f t="shared" si="25"/>
        <v>0</v>
      </c>
      <c r="T341" s="156" t="str">
        <f>+VLOOKUP($L341,Data_Validation!$A:$D,1,0)</f>
        <v>6194</v>
      </c>
      <c r="U341" s="156" t="str">
        <f>+VLOOKUP($L341,Data_Validation!$A:$D,3,0)</f>
        <v>Véhicules neufs</v>
      </c>
      <c r="V341" s="156" t="str">
        <f>+VLOOKUP($L341,Data_Validation!$A:$D,4,0)</f>
        <v>Honoraires</v>
      </c>
      <c r="W341" s="156" t="str">
        <f>+VLOOKUP($L341,Data_Validation!$A:$E,5,0)</f>
        <v>$</v>
      </c>
      <c r="X341" s="156">
        <f>+VLOOKUP($L341,Data_Validation!$A:$F,6,0)</f>
        <v>0</v>
      </c>
    </row>
    <row r="342" spans="1:24" ht="15" hidden="1" customHeight="1">
      <c r="A342" s="1012" t="s">
        <v>1483</v>
      </c>
      <c r="B342" s="1012" t="s">
        <v>2780</v>
      </c>
      <c r="C342" s="1014">
        <v>82896.53</v>
      </c>
      <c r="D342" s="1014">
        <v>12144.98</v>
      </c>
      <c r="E342" s="1014">
        <v>95041.51</v>
      </c>
      <c r="F342" s="1012" t="s">
        <v>401</v>
      </c>
      <c r="G342" s="1012" t="s">
        <v>2781</v>
      </c>
      <c r="H342" s="971"/>
      <c r="I342" s="974"/>
      <c r="J342" s="974"/>
      <c r="K342" s="974"/>
      <c r="L342" s="153" t="str">
        <f t="shared" si="18"/>
        <v>6201</v>
      </c>
      <c r="M342" s="154" t="str">
        <f t="shared" si="19"/>
        <v>COMMISSION USAGES</v>
      </c>
      <c r="N342" s="155">
        <f>+IF(OR($Q342=Parametres!$G$2,$Q342=Parametres!$G$3),I342,C342)</f>
        <v>82896.53</v>
      </c>
      <c r="O342" s="155">
        <f>+IF(OR($Q342=Parametres!$G$2,$Q342=Parametres!$G$3),J342,D342)</f>
        <v>12144.98</v>
      </c>
      <c r="P342" s="155">
        <f>+IF(OR($Q342=Parametres!$G$2,$Q342=Parametres!$G$3),K342,E342)</f>
        <v>95041.51</v>
      </c>
      <c r="Q342" s="154" t="str">
        <f t="shared" si="25"/>
        <v>7-Dépenses</v>
      </c>
      <c r="R342" s="153" t="str">
        <f t="shared" si="25"/>
        <v>6101</v>
      </c>
      <c r="S342" s="154">
        <f t="shared" si="25"/>
        <v>0</v>
      </c>
      <c r="T342" s="156" t="str">
        <f>+VLOOKUP($L342,Data_Validation!$A:$D,1,0)</f>
        <v>6201</v>
      </c>
      <c r="U342" s="156" t="str">
        <f>+VLOOKUP($L342,Data_Validation!$A:$D,3,0)</f>
        <v>Véhicules usagés</v>
      </c>
      <c r="V342" s="156" t="str">
        <f>+VLOOKUP($L342,Data_Validation!$A:$D,4,0)</f>
        <v>Comm. vendeurs</v>
      </c>
      <c r="W342" s="156" t="str">
        <f>+VLOOKUP($L342,Data_Validation!$A:$E,5,0)</f>
        <v>$</v>
      </c>
      <c r="X342" s="156">
        <f>+VLOOKUP($L342,Data_Validation!$A:$F,6,0)</f>
        <v>0</v>
      </c>
    </row>
    <row r="343" spans="1:24" ht="15.75" hidden="1" customHeight="1">
      <c r="A343" s="1012" t="s">
        <v>1442</v>
      </c>
      <c r="B343" s="1012" t="s">
        <v>2769</v>
      </c>
      <c r="C343" s="1014">
        <v>54060.75</v>
      </c>
      <c r="D343" s="1014">
        <v>18574.12</v>
      </c>
      <c r="E343" s="1014">
        <v>72634.87</v>
      </c>
      <c r="F343" s="1012" t="s">
        <v>401</v>
      </c>
      <c r="G343" s="1012" t="s">
        <v>2770</v>
      </c>
      <c r="H343" s="971"/>
      <c r="I343" s="974"/>
      <c r="J343" s="974"/>
      <c r="K343" s="974"/>
      <c r="L343" s="153" t="str">
        <f t="shared" si="18"/>
        <v>6202</v>
      </c>
      <c r="M343" s="154" t="str">
        <f t="shared" si="19"/>
        <v>RENUMERATION F &amp; I</v>
      </c>
      <c r="N343" s="155">
        <f>+IF(OR($Q343=Parametres!$G$2,$Q343=Parametres!$G$3),I343,C343)</f>
        <v>54060.75</v>
      </c>
      <c r="O343" s="155">
        <f>+IF(OR($Q343=Parametres!$G$2,$Q343=Parametres!$G$3),J343,D343)</f>
        <v>18574.12</v>
      </c>
      <c r="P343" s="155">
        <f>+IF(OR($Q343=Parametres!$G$2,$Q343=Parametres!$G$3),K343,E343)</f>
        <v>72634.87</v>
      </c>
      <c r="Q343" s="154" t="str">
        <f t="shared" si="25"/>
        <v>7-Dépenses</v>
      </c>
      <c r="R343" s="153" t="str">
        <f t="shared" si="25"/>
        <v>6102</v>
      </c>
      <c r="S343" s="154">
        <f t="shared" si="25"/>
        <v>0</v>
      </c>
      <c r="T343" s="156" t="str">
        <f>+VLOOKUP($L343,Data_Validation!$A:$D,1,0)</f>
        <v>6202</v>
      </c>
      <c r="U343" s="156" t="str">
        <f>+VLOOKUP($L343,Data_Validation!$A:$D,3,0)</f>
        <v>Véhicules usagés</v>
      </c>
      <c r="V343" s="156" t="str">
        <f>+VLOOKUP($L343,Data_Validation!$A:$D,4,0)</f>
        <v>Comm. F&amp;I</v>
      </c>
      <c r="W343" s="156" t="str">
        <f>+VLOOKUP($L343,Data_Validation!$A:$E,5,0)</f>
        <v>$</v>
      </c>
      <c r="X343" s="156">
        <f>+VLOOKUP($L343,Data_Validation!$A:$F,6,0)</f>
        <v>0</v>
      </c>
    </row>
    <row r="344" spans="1:24" ht="15" hidden="1" customHeight="1">
      <c r="A344" s="1012" t="s">
        <v>1230</v>
      </c>
      <c r="B344" s="1012" t="s">
        <v>2751</v>
      </c>
      <c r="C344" s="1014">
        <v>10248.879999999999</v>
      </c>
      <c r="D344" s="1014">
        <v>0</v>
      </c>
      <c r="E344" s="1014">
        <v>10248.879999999999</v>
      </c>
      <c r="F344" s="1012" t="s">
        <v>401</v>
      </c>
      <c r="G344" s="1012" t="s">
        <v>2706</v>
      </c>
      <c r="H344" s="971"/>
      <c r="I344" s="974"/>
      <c r="J344" s="974"/>
      <c r="K344" s="974"/>
      <c r="L344" s="153" t="str">
        <f t="shared" si="18"/>
        <v>6203</v>
      </c>
      <c r="M344" s="154" t="str">
        <f t="shared" si="19"/>
        <v>RELAT. A LA CLIENTELLE &amp; AJUST</v>
      </c>
      <c r="N344" s="155">
        <f>+IF(OR($Q344=Parametres!$G$2,$Q344=Parametres!$G$3),I344,C344)</f>
        <v>10248.879999999999</v>
      </c>
      <c r="O344" s="155">
        <f>+IF(OR($Q344=Parametres!$G$2,$Q344=Parametres!$G$3),J344,D344)</f>
        <v>0</v>
      </c>
      <c r="P344" s="155">
        <f>+IF(OR($Q344=Parametres!$G$2,$Q344=Parametres!$G$3),K344,E344)</f>
        <v>10248.879999999999</v>
      </c>
      <c r="Q344" s="154" t="str">
        <f t="shared" si="25"/>
        <v>7-Dépenses</v>
      </c>
      <c r="R344" s="153" t="str">
        <f t="shared" si="25"/>
        <v>6103</v>
      </c>
      <c r="S344" s="154">
        <f t="shared" si="25"/>
        <v>0</v>
      </c>
      <c r="T344" s="156" t="str">
        <f>+VLOOKUP($L344,Data_Validation!$A:$D,1,0)</f>
        <v>6203</v>
      </c>
      <c r="U344" s="156" t="str">
        <f>+VLOOKUP($L344,Data_Validation!$A:$D,3,0)</f>
        <v>Véhicules usagés</v>
      </c>
      <c r="V344" s="156" t="str">
        <f>+VLOOKUP($L344,Data_Validation!$A:$D,4,0)</f>
        <v>Service gratuit 1</v>
      </c>
      <c r="W344" s="156" t="str">
        <f>+VLOOKUP($L344,Data_Validation!$A:$E,5,0)</f>
        <v>$</v>
      </c>
      <c r="X344" s="156">
        <f>+VLOOKUP($L344,Data_Validation!$A:$F,6,0)</f>
        <v>0</v>
      </c>
    </row>
    <row r="345" spans="1:24" ht="15" hidden="1" customHeight="1">
      <c r="A345" s="1012" t="s">
        <v>2757</v>
      </c>
      <c r="B345" s="1012" t="s">
        <v>2758</v>
      </c>
      <c r="C345" s="1014">
        <v>10887.37</v>
      </c>
      <c r="D345" s="1014">
        <v>2907.75</v>
      </c>
      <c r="E345" s="1014">
        <v>13795.12</v>
      </c>
      <c r="F345" s="1012" t="s">
        <v>401</v>
      </c>
      <c r="G345" s="1012" t="s">
        <v>2759</v>
      </c>
      <c r="H345" s="971"/>
      <c r="I345" s="974"/>
      <c r="J345" s="974"/>
      <c r="K345" s="974"/>
      <c r="L345" s="153" t="str">
        <f t="shared" si="18"/>
        <v>6206</v>
      </c>
      <c r="M345" s="154" t="str">
        <f t="shared" si="19"/>
        <v>ENTRETIEN DES STOCKS</v>
      </c>
      <c r="N345" s="155">
        <f>+IF(OR($Q345=Parametres!$G$2,$Q345=Parametres!$G$3),I345,C345)</f>
        <v>10887.37</v>
      </c>
      <c r="O345" s="155">
        <f>+IF(OR($Q345=Parametres!$G$2,$Q345=Parametres!$G$3),J345,D345)</f>
        <v>2907.75</v>
      </c>
      <c r="P345" s="155">
        <f>+IF(OR($Q345=Parametres!$G$2,$Q345=Parametres!$G$3),K345,E345)</f>
        <v>13795.12</v>
      </c>
      <c r="Q345" s="154" t="str">
        <f t="shared" si="25"/>
        <v>7-Dépenses</v>
      </c>
      <c r="R345" s="153" t="str">
        <f t="shared" si="25"/>
        <v>6106</v>
      </c>
      <c r="S345" s="154">
        <f t="shared" si="25"/>
        <v>0</v>
      </c>
      <c r="T345" s="156" t="str">
        <f>+VLOOKUP($L345,Data_Validation!$A:$D,1,0)</f>
        <v>6206</v>
      </c>
      <c r="U345" s="156" t="str">
        <f>+VLOOKUP($L345,Data_Validation!$A:$D,3,0)</f>
        <v>Véhicules usagés</v>
      </c>
      <c r="V345" s="156" t="str">
        <f>+VLOOKUP($L345,Data_Validation!$A:$D,4,0)</f>
        <v>Entretien stock</v>
      </c>
      <c r="W345" s="156" t="str">
        <f>+VLOOKUP($L345,Data_Validation!$A:$E,5,0)</f>
        <v>$</v>
      </c>
      <c r="X345" s="156">
        <f>+VLOOKUP($L345,Data_Validation!$A:$F,6,0)</f>
        <v>0</v>
      </c>
    </row>
    <row r="346" spans="1:24" ht="15" hidden="1" customHeight="1">
      <c r="A346" s="1012" t="s">
        <v>938</v>
      </c>
      <c r="B346" s="1012" t="s">
        <v>2611</v>
      </c>
      <c r="C346" s="1014">
        <v>1291.99</v>
      </c>
      <c r="D346" s="1014">
        <v>79.86</v>
      </c>
      <c r="E346" s="1014">
        <v>1371.85</v>
      </c>
      <c r="F346" s="1012" t="s">
        <v>401</v>
      </c>
      <c r="G346" s="1012" t="s">
        <v>2612</v>
      </c>
      <c r="H346" s="971"/>
      <c r="I346" s="974"/>
      <c r="J346" s="974"/>
      <c r="K346" s="974"/>
      <c r="L346" s="153" t="str">
        <f t="shared" si="18"/>
        <v>6207</v>
      </c>
      <c r="M346" s="154" t="str">
        <f t="shared" si="19"/>
        <v>INTERET-PLAN DE FINANCEMENT</v>
      </c>
      <c r="N346" s="155">
        <f>+IF(OR($Q346=Parametres!$G$2,$Q346=Parametres!$G$3),I346,C346)</f>
        <v>1291.99</v>
      </c>
      <c r="O346" s="155">
        <f>+IF(OR($Q346=Parametres!$G$2,$Q346=Parametres!$G$3),J346,D346)</f>
        <v>79.86</v>
      </c>
      <c r="P346" s="155">
        <f>+IF(OR($Q346=Parametres!$G$2,$Q346=Parametres!$G$3),K346,E346)</f>
        <v>1371.85</v>
      </c>
      <c r="Q346" s="154" t="str">
        <f t="shared" si="25"/>
        <v>7-Dépenses</v>
      </c>
      <c r="R346" s="153" t="str">
        <f t="shared" si="25"/>
        <v>6107</v>
      </c>
      <c r="S346" s="154">
        <f t="shared" si="25"/>
        <v>0</v>
      </c>
      <c r="T346" s="156" t="str">
        <f>+VLOOKUP($L346,Data_Validation!$A:$D,1,0)</f>
        <v>6207</v>
      </c>
      <c r="U346" s="156" t="str">
        <f>+VLOOKUP($L346,Data_Validation!$A:$D,3,0)</f>
        <v>Véhicules usagés</v>
      </c>
      <c r="V346" s="156" t="str">
        <f>+VLOOKUP($L346,Data_Validation!$A:$D,4,0)</f>
        <v>Intérêt de gros</v>
      </c>
      <c r="W346" s="156" t="str">
        <f>+VLOOKUP($L346,Data_Validation!$A:$E,5,0)</f>
        <v>$</v>
      </c>
      <c r="X346" s="156">
        <f>+VLOOKUP($L346,Data_Validation!$A:$F,6,0)</f>
        <v>0</v>
      </c>
    </row>
    <row r="347" spans="1:24" ht="15.75" hidden="1" customHeight="1">
      <c r="A347" s="1012" t="s">
        <v>1407</v>
      </c>
      <c r="B347" s="1012" t="s">
        <v>2695</v>
      </c>
      <c r="C347" s="1014">
        <v>11377.45</v>
      </c>
      <c r="D347" s="1014">
        <v>2843.69</v>
      </c>
      <c r="E347" s="1014">
        <v>14221.14</v>
      </c>
      <c r="F347" s="1012" t="s">
        <v>401</v>
      </c>
      <c r="G347" s="1012" t="s">
        <v>2696</v>
      </c>
      <c r="H347" s="971"/>
      <c r="I347" s="974"/>
      <c r="J347" s="974"/>
      <c r="K347" s="974"/>
      <c r="L347" s="153" t="str">
        <f t="shared" si="18"/>
        <v>6208</v>
      </c>
      <c r="M347" s="154" t="str">
        <f t="shared" si="19"/>
        <v>FRAIS DE LIVRAISON</v>
      </c>
      <c r="N347" s="155">
        <f>+IF(OR($Q347=Parametres!$G$2,$Q347=Parametres!$G$3),I347,C347)</f>
        <v>11377.45</v>
      </c>
      <c r="O347" s="155">
        <f>+IF(OR($Q347=Parametres!$G$2,$Q347=Parametres!$G$3),J347,D347)</f>
        <v>2843.69</v>
      </c>
      <c r="P347" s="155">
        <f>+IF(OR($Q347=Parametres!$G$2,$Q347=Parametres!$G$3),K347,E347)</f>
        <v>14221.14</v>
      </c>
      <c r="Q347" s="154" t="str">
        <f t="shared" si="25"/>
        <v>7-Dépenses</v>
      </c>
      <c r="R347" s="153" t="str">
        <f t="shared" si="25"/>
        <v>6108</v>
      </c>
      <c r="S347" s="154">
        <f t="shared" si="25"/>
        <v>0</v>
      </c>
      <c r="T347" s="156" t="str">
        <f>+VLOOKUP($L347,Data_Validation!$A:$D,1,0)</f>
        <v>6208</v>
      </c>
      <c r="U347" s="156" t="str">
        <f>+VLOOKUP($L347,Data_Validation!$A:$D,3,0)</f>
        <v>Véhicules usagés</v>
      </c>
      <c r="V347" s="156" t="str">
        <f>+VLOOKUP($L347,Data_Validation!$A:$D,4,0)</f>
        <v>Frais de livraison</v>
      </c>
      <c r="W347" s="156" t="str">
        <f>+VLOOKUP($L347,Data_Validation!$A:$E,5,0)</f>
        <v>$</v>
      </c>
      <c r="X347" s="156">
        <f>+VLOOKUP($L347,Data_Validation!$A:$F,6,0)</f>
        <v>0</v>
      </c>
    </row>
    <row r="348" spans="1:24" ht="15" hidden="1" customHeight="1">
      <c r="A348" s="1012" t="s">
        <v>1374</v>
      </c>
      <c r="B348" s="1012" t="s">
        <v>2774</v>
      </c>
      <c r="C348" s="1014">
        <v>55000</v>
      </c>
      <c r="D348" s="1014">
        <v>8750</v>
      </c>
      <c r="E348" s="1014">
        <v>63750</v>
      </c>
      <c r="F348" s="1012" t="s">
        <v>401</v>
      </c>
      <c r="G348" s="1012" t="s">
        <v>2113</v>
      </c>
      <c r="H348" s="971"/>
      <c r="I348" s="974"/>
      <c r="J348" s="974"/>
      <c r="K348" s="974"/>
      <c r="L348" s="153" t="str">
        <f t="shared" si="18"/>
        <v>6214</v>
      </c>
      <c r="M348" s="154" t="str">
        <f t="shared" si="19"/>
        <v>PUBLICITE</v>
      </c>
      <c r="N348" s="155">
        <f>+IF(OR($Q348=Parametres!$G$2,$Q348=Parametres!$G$3),I348,C348)</f>
        <v>55000</v>
      </c>
      <c r="O348" s="155">
        <f>+IF(OR($Q348=Parametres!$G$2,$Q348=Parametres!$G$3),J348,D348)</f>
        <v>8750</v>
      </c>
      <c r="P348" s="155">
        <f>+IF(OR($Q348=Parametres!$G$2,$Q348=Parametres!$G$3),K348,E348)</f>
        <v>63750</v>
      </c>
      <c r="Q348" s="154" t="str">
        <f t="shared" si="25"/>
        <v>7-Dépenses</v>
      </c>
      <c r="R348" s="153" t="str">
        <f t="shared" si="25"/>
        <v>6114</v>
      </c>
      <c r="S348" s="154">
        <f t="shared" si="25"/>
        <v>0</v>
      </c>
      <c r="T348" s="156" t="str">
        <f>+VLOOKUP($L348,Data_Validation!$A:$D,1,0)</f>
        <v>6214</v>
      </c>
      <c r="U348" s="156" t="str">
        <f>+VLOOKUP($L348,Data_Validation!$A:$D,3,0)</f>
        <v>Véhicules usagés</v>
      </c>
      <c r="V348" s="156" t="str">
        <f>+VLOOKUP($L348,Data_Validation!$A:$D,4,0)</f>
        <v>Publicité 1</v>
      </c>
      <c r="W348" s="156" t="str">
        <f>+VLOOKUP($L348,Data_Validation!$A:$E,5,0)</f>
        <v>$</v>
      </c>
      <c r="X348" s="156">
        <f>+VLOOKUP($L348,Data_Validation!$A:$F,6,0)</f>
        <v>0</v>
      </c>
    </row>
    <row r="349" spans="1:24" ht="15" hidden="1" customHeight="1">
      <c r="A349" s="1012" t="s">
        <v>2148</v>
      </c>
      <c r="B349" s="1012" t="s">
        <v>2149</v>
      </c>
      <c r="C349" s="1014">
        <v>-19370</v>
      </c>
      <c r="D349" s="1014">
        <v>-4200</v>
      </c>
      <c r="E349" s="1014">
        <v>-23570</v>
      </c>
      <c r="F349" s="1012" t="s">
        <v>401</v>
      </c>
      <c r="G349" s="1012" t="s">
        <v>2113</v>
      </c>
      <c r="H349" s="971"/>
      <c r="I349" s="974"/>
      <c r="J349" s="974"/>
      <c r="K349" s="974"/>
      <c r="L349" s="153" t="str">
        <f t="shared" si="18"/>
        <v>6215</v>
      </c>
      <c r="M349" s="154" t="str">
        <f t="shared" si="19"/>
        <v>CREDIT PUBLICITE USAGES</v>
      </c>
      <c r="N349" s="155">
        <f>+IF(OR($Q349=Parametres!$G$2,$Q349=Parametres!$G$3),I349,C349)</f>
        <v>-19370</v>
      </c>
      <c r="O349" s="155">
        <f>+IF(OR($Q349=Parametres!$G$2,$Q349=Parametres!$G$3),J349,D349)</f>
        <v>-4200</v>
      </c>
      <c r="P349" s="155">
        <f>+IF(OR($Q349=Parametres!$G$2,$Q349=Parametres!$G$3),K349,E349)</f>
        <v>-23570</v>
      </c>
      <c r="Q349" s="154" t="str">
        <f t="shared" si="25"/>
        <v>7-Dépenses</v>
      </c>
      <c r="R349" s="153" t="str">
        <f t="shared" si="25"/>
        <v>6114</v>
      </c>
      <c r="S349" s="154">
        <f t="shared" si="25"/>
        <v>0</v>
      </c>
      <c r="T349" s="156" t="str">
        <f>+VLOOKUP($L349,Data_Validation!$A:$D,1,0)</f>
        <v>6215</v>
      </c>
      <c r="U349" s="156" t="str">
        <f>+VLOOKUP($L349,Data_Validation!$A:$D,3,0)</f>
        <v>Véhicules usagés</v>
      </c>
      <c r="V349" s="156" t="str">
        <f>+VLOOKUP($L349,Data_Validation!$A:$D,4,0)</f>
        <v>Publicité 1</v>
      </c>
      <c r="W349" s="156" t="str">
        <f>+VLOOKUP($L349,Data_Validation!$A:$E,5,0)</f>
        <v>$</v>
      </c>
      <c r="X349" s="156">
        <f>+VLOOKUP($L349,Data_Validation!$A:$F,6,0)</f>
        <v>0</v>
      </c>
    </row>
    <row r="350" spans="1:24" ht="15" hidden="1" customHeight="1">
      <c r="A350" s="1012" t="s">
        <v>1259</v>
      </c>
      <c r="B350" s="1012" t="s">
        <v>2674</v>
      </c>
      <c r="C350" s="1014">
        <v>5879.13</v>
      </c>
      <c r="D350" s="1014">
        <v>1431.33</v>
      </c>
      <c r="E350" s="1014">
        <v>7310.46</v>
      </c>
      <c r="F350" s="1012" t="s">
        <v>401</v>
      </c>
      <c r="G350" s="1012" t="s">
        <v>2648</v>
      </c>
      <c r="H350" s="971"/>
      <c r="I350" s="974"/>
      <c r="J350" s="974"/>
      <c r="K350" s="974"/>
      <c r="L350" s="153" t="str">
        <f t="shared" si="18"/>
        <v>6221</v>
      </c>
      <c r="M350" s="154" t="str">
        <f t="shared" si="19"/>
        <v>SALAIRES - PROPRIETAIRES</v>
      </c>
      <c r="N350" s="155">
        <f>+IF(OR($Q350=Parametres!$G$2,$Q350=Parametres!$G$3),I350,C350)</f>
        <v>5879.13</v>
      </c>
      <c r="O350" s="155">
        <f>+IF(OR($Q350=Parametres!$G$2,$Q350=Parametres!$G$3),J350,D350)</f>
        <v>1431.33</v>
      </c>
      <c r="P350" s="155">
        <f>+IF(OR($Q350=Parametres!$G$2,$Q350=Parametres!$G$3),K350,E350)</f>
        <v>7310.46</v>
      </c>
      <c r="Q350" s="154" t="str">
        <f t="shared" si="25"/>
        <v>7-Dépenses</v>
      </c>
      <c r="R350" s="153" t="str">
        <f t="shared" si="25"/>
        <v>6121</v>
      </c>
      <c r="S350" s="154">
        <f t="shared" si="25"/>
        <v>0</v>
      </c>
      <c r="T350" s="156" t="str">
        <f>+VLOOKUP($L350,Data_Validation!$A:$D,1,0)</f>
        <v>6221</v>
      </c>
      <c r="U350" s="156" t="str">
        <f>+VLOOKUP($L350,Data_Validation!$A:$D,3,0)</f>
        <v>Véhicules usagés</v>
      </c>
      <c r="V350" s="156" t="str">
        <f>+VLOOKUP($L350,Data_Validation!$A:$D,4,0)</f>
        <v>Salaires propriétaire</v>
      </c>
      <c r="W350" s="156" t="str">
        <f>+VLOOKUP($L350,Data_Validation!$A:$E,5,0)</f>
        <v>$</v>
      </c>
      <c r="X350" s="156">
        <f>+VLOOKUP($L350,Data_Validation!$A:$F,6,0)</f>
        <v>0</v>
      </c>
    </row>
    <row r="351" spans="1:24" ht="15" hidden="1" customHeight="1">
      <c r="A351" s="1012" t="s">
        <v>2624</v>
      </c>
      <c r="B351" s="1012" t="s">
        <v>2748</v>
      </c>
      <c r="C351" s="1014">
        <v>41078.86</v>
      </c>
      <c r="D351" s="1014">
        <v>8941.5300000000007</v>
      </c>
      <c r="E351" s="1014">
        <v>50020.39</v>
      </c>
      <c r="F351" s="1012" t="s">
        <v>401</v>
      </c>
      <c r="G351" s="1012" t="s">
        <v>2626</v>
      </c>
      <c r="H351" s="971"/>
      <c r="I351" s="974"/>
      <c r="J351" s="974"/>
      <c r="K351" s="974"/>
      <c r="L351" s="153" t="str">
        <f t="shared" si="18"/>
        <v>6222</v>
      </c>
      <c r="M351" s="154" t="str">
        <f t="shared" si="19"/>
        <v>SAL SUPERVISION / GERANT</v>
      </c>
      <c r="N351" s="155">
        <f>+IF(OR($Q351=Parametres!$G$2,$Q351=Parametres!$G$3),I351,C351)</f>
        <v>41078.86</v>
      </c>
      <c r="O351" s="155">
        <f>+IF(OR($Q351=Parametres!$G$2,$Q351=Parametres!$G$3),J351,D351)</f>
        <v>8941.5300000000007</v>
      </c>
      <c r="P351" s="155">
        <f>+IF(OR($Q351=Parametres!$G$2,$Q351=Parametres!$G$3),K351,E351)</f>
        <v>50020.39</v>
      </c>
      <c r="Q351" s="154" t="str">
        <f t="shared" si="25"/>
        <v>7-Dépenses</v>
      </c>
      <c r="R351" s="153" t="str">
        <f t="shared" si="25"/>
        <v>6122</v>
      </c>
      <c r="S351" s="154">
        <f t="shared" si="25"/>
        <v>0</v>
      </c>
      <c r="T351" s="156" t="str">
        <f>+VLOOKUP($L351,Data_Validation!$A:$D,1,0)</f>
        <v>6222</v>
      </c>
      <c r="U351" s="156" t="str">
        <f>+VLOOKUP($L351,Data_Validation!$A:$D,3,0)</f>
        <v>Véhicules usagés</v>
      </c>
      <c r="V351" s="156" t="str">
        <f>+VLOOKUP($L351,Data_Validation!$A:$D,4,0)</f>
        <v>Salaires cadres</v>
      </c>
      <c r="W351" s="156" t="str">
        <f>+VLOOKUP($L351,Data_Validation!$A:$E,5,0)</f>
        <v>$</v>
      </c>
      <c r="X351" s="156">
        <f>+VLOOKUP($L351,Data_Validation!$A:$F,6,0)</f>
        <v>0</v>
      </c>
    </row>
    <row r="352" spans="1:24" ht="15.75" hidden="1" customHeight="1">
      <c r="A352" s="1012" t="s">
        <v>1342</v>
      </c>
      <c r="B352" s="1012" t="s">
        <v>2707</v>
      </c>
      <c r="C352" s="1014">
        <v>18303.96</v>
      </c>
      <c r="D352" s="1014">
        <v>2713.28</v>
      </c>
      <c r="E352" s="1014">
        <v>21017.24</v>
      </c>
      <c r="F352" s="1012" t="s">
        <v>401</v>
      </c>
      <c r="G352" s="1012" t="s">
        <v>2679</v>
      </c>
      <c r="H352" s="971"/>
      <c r="I352" s="974"/>
      <c r="J352" s="974"/>
      <c r="K352" s="974"/>
      <c r="L352" s="153" t="str">
        <f t="shared" si="18"/>
        <v>6223</v>
      </c>
      <c r="M352" s="154" t="str">
        <f t="shared" si="19"/>
        <v>SAL. &amp; RENUM. - CLERICAL</v>
      </c>
      <c r="N352" s="155">
        <f>+IF(OR($Q352=Parametres!$G$2,$Q352=Parametres!$G$3),I352,C352)</f>
        <v>18303.96</v>
      </c>
      <c r="O352" s="155">
        <f>+IF(OR($Q352=Parametres!$G$2,$Q352=Parametres!$G$3),J352,D352)</f>
        <v>2713.28</v>
      </c>
      <c r="P352" s="155">
        <f>+IF(OR($Q352=Parametres!$G$2,$Q352=Parametres!$G$3),K352,E352)</f>
        <v>21017.24</v>
      </c>
      <c r="Q352" s="154" t="str">
        <f t="shared" si="25"/>
        <v>7-Dépenses</v>
      </c>
      <c r="R352" s="153" t="str">
        <f t="shared" si="25"/>
        <v>6123</v>
      </c>
      <c r="S352" s="154">
        <f t="shared" si="25"/>
        <v>0</v>
      </c>
      <c r="T352" s="156" t="str">
        <f>+VLOOKUP($L352,Data_Validation!$A:$D,1,0)</f>
        <v>6223</v>
      </c>
      <c r="U352" s="156" t="str">
        <f>+VLOOKUP($L352,Data_Validation!$A:$D,3,0)</f>
        <v>Véhicules usagés</v>
      </c>
      <c r="V352" s="156" t="str">
        <f>+VLOOKUP($L352,Data_Validation!$A:$D,4,0)</f>
        <v>Salaires commis</v>
      </c>
      <c r="W352" s="156" t="str">
        <f>+VLOOKUP($L352,Data_Validation!$A:$E,5,0)</f>
        <v>$</v>
      </c>
      <c r="X352" s="156">
        <f>+VLOOKUP($L352,Data_Validation!$A:$F,6,0)</f>
        <v>0</v>
      </c>
    </row>
    <row r="353" spans="1:24" ht="15" hidden="1" customHeight="1">
      <c r="A353" s="1012" t="s">
        <v>1412</v>
      </c>
      <c r="B353" s="1012" t="s">
        <v>2776</v>
      </c>
      <c r="C353" s="1014">
        <v>65948.740000000005</v>
      </c>
      <c r="D353" s="1014">
        <v>11125.31</v>
      </c>
      <c r="E353" s="1014">
        <v>77074.05</v>
      </c>
      <c r="F353" s="1012" t="s">
        <v>401</v>
      </c>
      <c r="G353" s="1012" t="s">
        <v>2735</v>
      </c>
      <c r="H353" s="971"/>
      <c r="I353" s="974"/>
      <c r="J353" s="974"/>
      <c r="K353" s="974"/>
      <c r="L353" s="153" t="str">
        <f t="shared" si="18"/>
        <v>6224</v>
      </c>
      <c r="M353" s="154" t="str">
        <f t="shared" si="19"/>
        <v>SALAIRE &amp; RENUM. - AUTRES</v>
      </c>
      <c r="N353" s="155">
        <f>+IF(OR($Q353=Parametres!$G$2,$Q353=Parametres!$G$3),I353,C353)</f>
        <v>65948.740000000005</v>
      </c>
      <c r="O353" s="155">
        <f>+IF(OR($Q353=Parametres!$G$2,$Q353=Parametres!$G$3),J353,D353)</f>
        <v>11125.31</v>
      </c>
      <c r="P353" s="155">
        <f>+IF(OR($Q353=Parametres!$G$2,$Q353=Parametres!$G$3),K353,E353)</f>
        <v>77074.05</v>
      </c>
      <c r="Q353" s="154" t="str">
        <f t="shared" si="25"/>
        <v>7-Dépenses</v>
      </c>
      <c r="R353" s="153" t="str">
        <f t="shared" si="25"/>
        <v>6124</v>
      </c>
      <c r="S353" s="154">
        <f t="shared" si="25"/>
        <v>0</v>
      </c>
      <c r="T353" s="156" t="str">
        <f>+VLOOKUP($L353,Data_Validation!$A:$D,1,0)</f>
        <v>6224</v>
      </c>
      <c r="U353" s="156" t="str">
        <f>+VLOOKUP($L353,Data_Validation!$A:$D,3,0)</f>
        <v>Véhicules usagés</v>
      </c>
      <c r="V353" s="156" t="str">
        <f>+VLOOKUP($L353,Data_Validation!$A:$D,4,0)</f>
        <v>Salaires autres</v>
      </c>
      <c r="W353" s="156" t="str">
        <f>+VLOOKUP($L353,Data_Validation!$A:$E,5,0)</f>
        <v>$</v>
      </c>
      <c r="X353" s="156">
        <f>+VLOOKUP($L353,Data_Validation!$A:$F,6,0)</f>
        <v>0</v>
      </c>
    </row>
    <row r="354" spans="1:24" ht="15" hidden="1" customHeight="1">
      <c r="A354" s="1012" t="s">
        <v>1211</v>
      </c>
      <c r="B354" s="1012" t="s">
        <v>2712</v>
      </c>
      <c r="C354" s="1014">
        <v>33063.54</v>
      </c>
      <c r="D354" s="1014">
        <v>5233.71</v>
      </c>
      <c r="E354" s="1014">
        <v>38297.25</v>
      </c>
      <c r="F354" s="1012" t="s">
        <v>401</v>
      </c>
      <c r="G354" s="1012" t="s">
        <v>2641</v>
      </c>
      <c r="H354" s="971"/>
      <c r="I354" s="974"/>
      <c r="J354" s="974"/>
      <c r="K354" s="974"/>
      <c r="L354" s="153" t="str">
        <f t="shared" si="18"/>
        <v>6229</v>
      </c>
      <c r="M354" s="154" t="str">
        <f t="shared" si="19"/>
        <v>ABS.,VACANCES &amp; SAL. JOURS FER</v>
      </c>
      <c r="N354" s="155">
        <f>+IF(OR($Q354=Parametres!$G$2,$Q354=Parametres!$G$3),I354,C354)</f>
        <v>33063.54</v>
      </c>
      <c r="O354" s="155">
        <f>+IF(OR($Q354=Parametres!$G$2,$Q354=Parametres!$G$3),J354,D354)</f>
        <v>5233.71</v>
      </c>
      <c r="P354" s="155">
        <f>+IF(OR($Q354=Parametres!$G$2,$Q354=Parametres!$G$3),K354,E354)</f>
        <v>38297.25</v>
      </c>
      <c r="Q354" s="154" t="str">
        <f t="shared" ref="Q354:S369" si="26">+F354</f>
        <v>7-Dépenses</v>
      </c>
      <c r="R354" s="153" t="str">
        <f t="shared" si="26"/>
        <v>6129</v>
      </c>
      <c r="S354" s="154">
        <f t="shared" si="26"/>
        <v>0</v>
      </c>
      <c r="T354" s="156" t="str">
        <f>+VLOOKUP($L354,Data_Validation!$A:$D,1,0)</f>
        <v>6229</v>
      </c>
      <c r="U354" s="156" t="str">
        <f>+VLOOKUP($L354,Data_Validation!$A:$D,3,0)</f>
        <v>Véhicules usagés</v>
      </c>
      <c r="V354" s="156" t="str">
        <f>+VLOOKUP($L354,Data_Validation!$A:$D,4,0)</f>
        <v>Salaires en absences</v>
      </c>
      <c r="W354" s="156" t="str">
        <f>+VLOOKUP($L354,Data_Validation!$A:$E,5,0)</f>
        <v>$</v>
      </c>
      <c r="X354" s="156">
        <f>+VLOOKUP($L354,Data_Validation!$A:$F,6,0)</f>
        <v>0</v>
      </c>
    </row>
    <row r="355" spans="1:24" ht="15" hidden="1" customHeight="1">
      <c r="A355" s="1012" t="s">
        <v>1252</v>
      </c>
      <c r="B355" s="1012" t="s">
        <v>2697</v>
      </c>
      <c r="C355" s="1014">
        <v>8546.5300000000007</v>
      </c>
      <c r="D355" s="1014">
        <v>1257.49</v>
      </c>
      <c r="E355" s="1014">
        <v>9804.02</v>
      </c>
      <c r="F355" s="1012" t="s">
        <v>401</v>
      </c>
      <c r="G355" s="1012" t="s">
        <v>2586</v>
      </c>
      <c r="H355" s="971"/>
      <c r="I355" s="974"/>
      <c r="J355" s="974"/>
      <c r="K355" s="974"/>
      <c r="L355" s="153" t="str">
        <f t="shared" si="18"/>
        <v>6231</v>
      </c>
      <c r="M355" s="154" t="str">
        <f t="shared" si="19"/>
        <v>CSST</v>
      </c>
      <c r="N355" s="155">
        <f>+IF(OR($Q355=Parametres!$G$2,$Q355=Parametres!$G$3),I355,C355)</f>
        <v>8546.5300000000007</v>
      </c>
      <c r="O355" s="155">
        <f>+IF(OR($Q355=Parametres!$G$2,$Q355=Parametres!$G$3),J355,D355)</f>
        <v>1257.49</v>
      </c>
      <c r="P355" s="155">
        <f>+IF(OR($Q355=Parametres!$G$2,$Q355=Parametres!$G$3),K355,E355)</f>
        <v>9804.02</v>
      </c>
      <c r="Q355" s="154" t="str">
        <f t="shared" si="26"/>
        <v>7-Dépenses</v>
      </c>
      <c r="R355" s="153" t="str">
        <f t="shared" si="26"/>
        <v>6131</v>
      </c>
      <c r="S355" s="154">
        <f t="shared" si="26"/>
        <v>0</v>
      </c>
      <c r="T355" s="156" t="str">
        <f>+VLOOKUP($L355,Data_Validation!$A:$D,1,0)</f>
        <v>6231</v>
      </c>
      <c r="U355" s="156" t="str">
        <f>+VLOOKUP($L355,Data_Validation!$A:$D,3,0)</f>
        <v>Véhicules usagés</v>
      </c>
      <c r="V355" s="156" t="str">
        <f>+VLOOKUP($L355,Data_Validation!$A:$D,4,0)</f>
        <v>Csst</v>
      </c>
      <c r="W355" s="156" t="str">
        <f>+VLOOKUP($L355,Data_Validation!$A:$E,5,0)</f>
        <v>$</v>
      </c>
      <c r="X355" s="156">
        <f>+VLOOKUP($L355,Data_Validation!$A:$F,6,0)</f>
        <v>0</v>
      </c>
    </row>
    <row r="356" spans="1:24" ht="15" hidden="1" customHeight="1">
      <c r="A356" s="1012" t="s">
        <v>1283</v>
      </c>
      <c r="B356" s="1012" t="s">
        <v>2717</v>
      </c>
      <c r="C356" s="1014">
        <v>34082.519999999997</v>
      </c>
      <c r="D356" s="1014">
        <v>5403.9</v>
      </c>
      <c r="E356" s="1014">
        <v>39486.42</v>
      </c>
      <c r="F356" s="1012" t="s">
        <v>401</v>
      </c>
      <c r="G356" s="1012" t="s">
        <v>2685</v>
      </c>
      <c r="H356" s="971"/>
      <c r="I356" s="974"/>
      <c r="J356" s="974"/>
      <c r="K356" s="974"/>
      <c r="L356" s="153" t="str">
        <f t="shared" si="18"/>
        <v>6232</v>
      </c>
      <c r="M356" s="154" t="str">
        <f t="shared" si="19"/>
        <v>RRQ RAMQ AC</v>
      </c>
      <c r="N356" s="155">
        <f>+IF(OR($Q356=Parametres!$G$2,$Q356=Parametres!$G$3),I356,C356)</f>
        <v>34082.519999999997</v>
      </c>
      <c r="O356" s="155">
        <f>+IF(OR($Q356=Parametres!$G$2,$Q356=Parametres!$G$3),J356,D356)</f>
        <v>5403.9</v>
      </c>
      <c r="P356" s="155">
        <f>+IF(OR($Q356=Parametres!$G$2,$Q356=Parametres!$G$3),K356,E356)</f>
        <v>39486.42</v>
      </c>
      <c r="Q356" s="154" t="str">
        <f t="shared" si="26"/>
        <v>7-Dépenses</v>
      </c>
      <c r="R356" s="153" t="str">
        <f t="shared" si="26"/>
        <v>6132</v>
      </c>
      <c r="S356" s="154">
        <f t="shared" si="26"/>
        <v>0</v>
      </c>
      <c r="T356" s="156" t="str">
        <f>+VLOOKUP($L356,Data_Validation!$A:$D,1,0)</f>
        <v>6232</v>
      </c>
      <c r="U356" s="156" t="str">
        <f>+VLOOKUP($L356,Data_Validation!$A:$D,3,0)</f>
        <v>Véhicules usagés</v>
      </c>
      <c r="V356" s="156" t="str">
        <f>+VLOOKUP($L356,Data_Validation!$A:$D,4,0)</f>
        <v>Déduction à la source</v>
      </c>
      <c r="W356" s="156" t="str">
        <f>+VLOOKUP($L356,Data_Validation!$A:$E,5,0)</f>
        <v>$</v>
      </c>
      <c r="X356" s="156">
        <f>+VLOOKUP($L356,Data_Validation!$A:$F,6,0)</f>
        <v>0</v>
      </c>
    </row>
    <row r="357" spans="1:24" ht="15" hidden="1" customHeight="1">
      <c r="A357" s="1012" t="s">
        <v>1305</v>
      </c>
      <c r="B357" s="1012" t="s">
        <v>2719</v>
      </c>
      <c r="C357" s="1014">
        <v>21551.52</v>
      </c>
      <c r="D357" s="1014">
        <v>3467.86</v>
      </c>
      <c r="E357" s="1014">
        <v>25019.38</v>
      </c>
      <c r="F357" s="1012" t="s">
        <v>401</v>
      </c>
      <c r="G357" s="1012" t="s">
        <v>2694</v>
      </c>
      <c r="H357" s="971"/>
      <c r="I357" s="974"/>
      <c r="J357" s="974"/>
      <c r="K357" s="974"/>
      <c r="L357" s="153" t="str">
        <f t="shared" si="18"/>
        <v>6239</v>
      </c>
      <c r="M357" s="154" t="str">
        <f t="shared" si="19"/>
        <v>ASSURANCE GROUPE</v>
      </c>
      <c r="N357" s="155">
        <f>+IF(OR($Q357=Parametres!$G$2,$Q357=Parametres!$G$3),I357,C357)</f>
        <v>21551.52</v>
      </c>
      <c r="O357" s="155">
        <f>+IF(OR($Q357=Parametres!$G$2,$Q357=Parametres!$G$3),J357,D357)</f>
        <v>3467.86</v>
      </c>
      <c r="P357" s="155">
        <f>+IF(OR($Q357=Parametres!$G$2,$Q357=Parametres!$G$3),K357,E357)</f>
        <v>25019.38</v>
      </c>
      <c r="Q357" s="154" t="str">
        <f t="shared" si="26"/>
        <v>7-Dépenses</v>
      </c>
      <c r="R357" s="153" t="str">
        <f t="shared" si="26"/>
        <v>6139</v>
      </c>
      <c r="S357" s="154">
        <f t="shared" si="26"/>
        <v>0</v>
      </c>
      <c r="T357" s="156" t="str">
        <f>+VLOOKUP($L357,Data_Validation!$A:$D,1,0)</f>
        <v>6239</v>
      </c>
      <c r="U357" s="156" t="str">
        <f>+VLOOKUP($L357,Data_Validation!$A:$D,3,0)</f>
        <v>Véhicules usagés</v>
      </c>
      <c r="V357" s="156" t="str">
        <f>+VLOOKUP($L357,Data_Validation!$A:$D,4,0)</f>
        <v>Bénéfices marginaux</v>
      </c>
      <c r="W357" s="156" t="str">
        <f>+VLOOKUP($L357,Data_Validation!$A:$E,5,0)</f>
        <v>$</v>
      </c>
      <c r="X357" s="156">
        <f>+VLOOKUP($L357,Data_Validation!$A:$F,6,0)</f>
        <v>0</v>
      </c>
    </row>
    <row r="358" spans="1:24" ht="15.75" hidden="1" customHeight="1">
      <c r="A358" s="1012" t="s">
        <v>1157</v>
      </c>
      <c r="B358" s="1012" t="s">
        <v>2565</v>
      </c>
      <c r="C358" s="1014">
        <v>660</v>
      </c>
      <c r="D358" s="1014">
        <v>105</v>
      </c>
      <c r="E358" s="1014">
        <v>765</v>
      </c>
      <c r="F358" s="1012" t="s">
        <v>401</v>
      </c>
      <c r="G358" s="1012" t="s">
        <v>2563</v>
      </c>
      <c r="H358" s="971"/>
      <c r="I358" s="974"/>
      <c r="J358" s="974"/>
      <c r="K358" s="974"/>
      <c r="L358" s="153" t="str">
        <f t="shared" si="18"/>
        <v>6242</v>
      </c>
      <c r="M358" s="154" t="str">
        <f t="shared" si="19"/>
        <v>FOURNITURES &amp; PETITS OUTILS</v>
      </c>
      <c r="N358" s="155">
        <f>+IF(OR($Q358=Parametres!$G$2,$Q358=Parametres!$G$3),I358,C358)</f>
        <v>660</v>
      </c>
      <c r="O358" s="155">
        <f>+IF(OR($Q358=Parametres!$G$2,$Q358=Parametres!$G$3),J358,D358)</f>
        <v>105</v>
      </c>
      <c r="P358" s="155">
        <f>+IF(OR($Q358=Parametres!$G$2,$Q358=Parametres!$G$3),K358,E358)</f>
        <v>765</v>
      </c>
      <c r="Q358" s="154" t="str">
        <f t="shared" si="26"/>
        <v>7-Dépenses</v>
      </c>
      <c r="R358" s="153" t="str">
        <f t="shared" si="26"/>
        <v>6142</v>
      </c>
      <c r="S358" s="154">
        <f t="shared" si="26"/>
        <v>0</v>
      </c>
      <c r="T358" s="156" t="str">
        <f>+VLOOKUP($L358,Data_Validation!$A:$D,1,0)</f>
        <v>6242</v>
      </c>
      <c r="U358" s="156" t="str">
        <f>+VLOOKUP($L358,Data_Validation!$A:$D,3,0)</f>
        <v>Véhicules usagés</v>
      </c>
      <c r="V358" s="156" t="str">
        <f>+VLOOKUP($L358,Data_Validation!$A:$D,4,0)</f>
        <v>Fournitures autres</v>
      </c>
      <c r="W358" s="156" t="str">
        <f>+VLOOKUP($L358,Data_Validation!$A:$E,5,0)</f>
        <v>$</v>
      </c>
      <c r="X358" s="156">
        <f>+VLOOKUP($L358,Data_Validation!$A:$F,6,0)</f>
        <v>0</v>
      </c>
    </row>
    <row r="359" spans="1:24" ht="15" hidden="1" customHeight="1">
      <c r="A359" s="1012" t="s">
        <v>932</v>
      </c>
      <c r="B359" s="1012" t="s">
        <v>2464</v>
      </c>
      <c r="C359" s="1014">
        <v>60</v>
      </c>
      <c r="D359" s="1014">
        <v>10</v>
      </c>
      <c r="E359" s="1014">
        <v>70</v>
      </c>
      <c r="F359" s="1012" t="s">
        <v>401</v>
      </c>
      <c r="G359" s="1012" t="s">
        <v>2159</v>
      </c>
      <c r="H359" s="971"/>
      <c r="I359" s="974"/>
      <c r="J359" s="974"/>
      <c r="K359" s="974"/>
      <c r="L359" s="153" t="str">
        <f t="shared" si="18"/>
        <v>6243</v>
      </c>
      <c r="M359" s="154" t="str">
        <f t="shared" si="19"/>
        <v>UNIFORMES &amp; LESSIVE</v>
      </c>
      <c r="N359" s="155">
        <f>+IF(OR($Q359=Parametres!$G$2,$Q359=Parametres!$G$3),I359,C359)</f>
        <v>60</v>
      </c>
      <c r="O359" s="155">
        <f>+IF(OR($Q359=Parametres!$G$2,$Q359=Parametres!$G$3),J359,D359)</f>
        <v>10</v>
      </c>
      <c r="P359" s="155">
        <f>+IF(OR($Q359=Parametres!$G$2,$Q359=Parametres!$G$3),K359,E359)</f>
        <v>70</v>
      </c>
      <c r="Q359" s="154" t="str">
        <f t="shared" si="26"/>
        <v>7-Dépenses</v>
      </c>
      <c r="R359" s="153" t="str">
        <f t="shared" si="26"/>
        <v>6143</v>
      </c>
      <c r="S359" s="154">
        <f t="shared" si="26"/>
        <v>0</v>
      </c>
      <c r="T359" s="156" t="str">
        <f>+VLOOKUP($L359,Data_Validation!$A:$D,1,0)</f>
        <v>6243</v>
      </c>
      <c r="U359" s="156" t="str">
        <f>+VLOOKUP($L359,Data_Validation!$A:$D,3,0)</f>
        <v>Véhicules usagés</v>
      </c>
      <c r="V359" s="156" t="str">
        <f>+VLOOKUP($L359,Data_Validation!$A:$D,4,0)</f>
        <v>Uniformes</v>
      </c>
      <c r="W359" s="156" t="str">
        <f>+VLOOKUP($L359,Data_Validation!$A:$E,5,0)</f>
        <v>$</v>
      </c>
      <c r="X359" s="156">
        <f>+VLOOKUP($L359,Data_Validation!$A:$F,6,0)</f>
        <v>0</v>
      </c>
    </row>
    <row r="360" spans="1:24" ht="15" hidden="1" customHeight="1">
      <c r="A360" s="1012" t="s">
        <v>934</v>
      </c>
      <c r="B360" s="1012" t="s">
        <v>2564</v>
      </c>
      <c r="C360" s="1014">
        <v>360</v>
      </c>
      <c r="D360" s="1014">
        <v>60</v>
      </c>
      <c r="E360" s="1014">
        <v>420</v>
      </c>
      <c r="F360" s="1012" t="s">
        <v>401</v>
      </c>
      <c r="G360" s="1012" t="s">
        <v>2561</v>
      </c>
      <c r="H360" s="971"/>
      <c r="I360" s="974"/>
      <c r="J360" s="974"/>
      <c r="K360" s="974"/>
      <c r="L360" s="153" t="str">
        <f t="shared" si="18"/>
        <v>6244</v>
      </c>
      <c r="M360" s="154" t="str">
        <f t="shared" si="19"/>
        <v>FORMATION</v>
      </c>
      <c r="N360" s="155">
        <f>+IF(OR($Q360=Parametres!$G$2,$Q360=Parametres!$G$3),I360,C360)</f>
        <v>360</v>
      </c>
      <c r="O360" s="155">
        <f>+IF(OR($Q360=Parametres!$G$2,$Q360=Parametres!$G$3),J360,D360)</f>
        <v>60</v>
      </c>
      <c r="P360" s="155">
        <f>+IF(OR($Q360=Parametres!$G$2,$Q360=Parametres!$G$3),K360,E360)</f>
        <v>420</v>
      </c>
      <c r="Q360" s="154" t="str">
        <f t="shared" si="26"/>
        <v>7-Dépenses</v>
      </c>
      <c r="R360" s="153" t="str">
        <f t="shared" si="26"/>
        <v>6144</v>
      </c>
      <c r="S360" s="154">
        <f t="shared" si="26"/>
        <v>0</v>
      </c>
      <c r="T360" s="156" t="str">
        <f>+VLOOKUP($L360,Data_Validation!$A:$D,1,0)</f>
        <v>6244</v>
      </c>
      <c r="U360" s="156" t="str">
        <f>+VLOOKUP($L360,Data_Validation!$A:$D,3,0)</f>
        <v>Véhicules usagés</v>
      </c>
      <c r="V360" s="156" t="str">
        <f>+VLOOKUP($L360,Data_Validation!$A:$D,4,0)</f>
        <v>Formation</v>
      </c>
      <c r="W360" s="156" t="str">
        <f>+VLOOKUP($L360,Data_Validation!$A:$E,5,0)</f>
        <v>$</v>
      </c>
      <c r="X360" s="156">
        <f>+VLOOKUP($L360,Data_Validation!$A:$F,6,0)</f>
        <v>0</v>
      </c>
    </row>
    <row r="361" spans="1:24" ht="15" hidden="1" customHeight="1">
      <c r="A361" s="1012" t="s">
        <v>1186</v>
      </c>
      <c r="B361" s="1012" t="s">
        <v>2649</v>
      </c>
      <c r="C361" s="1014">
        <v>4341.8100000000004</v>
      </c>
      <c r="D361" s="1014">
        <v>1526.9</v>
      </c>
      <c r="E361" s="1014">
        <v>5868.71</v>
      </c>
      <c r="F361" s="1012" t="s">
        <v>401</v>
      </c>
      <c r="G361" s="1012" t="s">
        <v>2632</v>
      </c>
      <c r="H361" s="971"/>
      <c r="I361" s="974"/>
      <c r="J361" s="974"/>
      <c r="K361" s="974"/>
      <c r="L361" s="153" t="str">
        <f t="shared" si="18"/>
        <v>6245</v>
      </c>
      <c r="M361" s="154" t="str">
        <f t="shared" si="19"/>
        <v>VEHICULE DE COMPAGNIE - DEPENS</v>
      </c>
      <c r="N361" s="155">
        <f>+IF(OR($Q361=Parametres!$G$2,$Q361=Parametres!$G$3),I361,C361)</f>
        <v>4341.8100000000004</v>
      </c>
      <c r="O361" s="155">
        <f>+IF(OR($Q361=Parametres!$G$2,$Q361=Parametres!$G$3),J361,D361)</f>
        <v>1526.9</v>
      </c>
      <c r="P361" s="155">
        <f>+IF(OR($Q361=Parametres!$G$2,$Q361=Parametres!$G$3),K361,E361)</f>
        <v>5868.71</v>
      </c>
      <c r="Q361" s="154" t="str">
        <f t="shared" si="26"/>
        <v>7-Dépenses</v>
      </c>
      <c r="R361" s="153" t="str">
        <f t="shared" si="26"/>
        <v>6145</v>
      </c>
      <c r="S361" s="154">
        <f t="shared" si="26"/>
        <v>0</v>
      </c>
      <c r="T361" s="156" t="str">
        <f>+VLOOKUP($L361,Data_Validation!$A:$D,1,0)</f>
        <v>6245</v>
      </c>
      <c r="U361" s="156" t="str">
        <f>+VLOOKUP($L361,Data_Validation!$A:$D,3,0)</f>
        <v>Véhicules usagés</v>
      </c>
      <c r="V361" s="156" t="str">
        <f>+VLOOKUP($L361,Data_Validation!$A:$D,4,0)</f>
        <v>Frais véhicules de cie</v>
      </c>
      <c r="W361" s="156" t="str">
        <f>+VLOOKUP($L361,Data_Validation!$A:$E,5,0)</f>
        <v>$</v>
      </c>
      <c r="X361" s="156">
        <f>+VLOOKUP($L361,Data_Validation!$A:$F,6,0)</f>
        <v>0</v>
      </c>
    </row>
    <row r="362" spans="1:24" ht="15.75" hidden="1" customHeight="1">
      <c r="A362" s="1012" t="s">
        <v>1180</v>
      </c>
      <c r="B362" s="1012" t="s">
        <v>2584</v>
      </c>
      <c r="C362" s="1014">
        <v>375.22</v>
      </c>
      <c r="D362" s="1014">
        <v>48.93</v>
      </c>
      <c r="E362" s="1014">
        <v>424.15</v>
      </c>
      <c r="F362" s="1012" t="s">
        <v>401</v>
      </c>
      <c r="G362" s="1012" t="s">
        <v>2581</v>
      </c>
      <c r="H362" s="971"/>
      <c r="I362" s="974"/>
      <c r="J362" s="974"/>
      <c r="K362" s="974"/>
      <c r="L362" s="153" t="str">
        <f t="shared" si="18"/>
        <v>6247</v>
      </c>
      <c r="M362" s="154" t="str">
        <f t="shared" si="19"/>
        <v>FRET/EXPRESS/TRANS. PAR CAMION</v>
      </c>
      <c r="N362" s="155">
        <f>+IF(OR($Q362=Parametres!$G$2,$Q362=Parametres!$G$3),I362,C362)</f>
        <v>375.22</v>
      </c>
      <c r="O362" s="155">
        <f>+IF(OR($Q362=Parametres!$G$2,$Q362=Parametres!$G$3),J362,D362)</f>
        <v>48.93</v>
      </c>
      <c r="P362" s="155">
        <f>+IF(OR($Q362=Parametres!$G$2,$Q362=Parametres!$G$3),K362,E362)</f>
        <v>424.15</v>
      </c>
      <c r="Q362" s="154" t="str">
        <f t="shared" si="26"/>
        <v>7-Dépenses</v>
      </c>
      <c r="R362" s="153" t="str">
        <f t="shared" si="26"/>
        <v>6147</v>
      </c>
      <c r="S362" s="154">
        <f t="shared" si="26"/>
        <v>0</v>
      </c>
      <c r="T362" s="156" t="str">
        <f>+VLOOKUP($L362,Data_Validation!$A:$D,1,0)</f>
        <v>6247</v>
      </c>
      <c r="U362" s="156" t="str">
        <f>+VLOOKUP($L362,Data_Validation!$A:$D,3,0)</f>
        <v>Véhicules usagés</v>
      </c>
      <c r="V362" s="156" t="str">
        <f>+VLOOKUP($L362,Data_Validation!$A:$D,4,0)</f>
        <v>Frais postaux</v>
      </c>
      <c r="W362" s="156" t="str">
        <f>+VLOOKUP($L362,Data_Validation!$A:$E,5,0)</f>
        <v>$</v>
      </c>
      <c r="X362" s="156">
        <f>+VLOOKUP($L362,Data_Validation!$A:$F,6,0)</f>
        <v>0</v>
      </c>
    </row>
    <row r="363" spans="1:24" ht="15.75" hidden="1" customHeight="1">
      <c r="A363" s="1012" t="s">
        <v>1286</v>
      </c>
      <c r="B363" s="1012" t="s">
        <v>2723</v>
      </c>
      <c r="C363" s="1014">
        <v>14769.94</v>
      </c>
      <c r="D363" s="1014">
        <v>2333.15</v>
      </c>
      <c r="E363" s="1014">
        <v>17103.09</v>
      </c>
      <c r="F363" s="1012" t="s">
        <v>401</v>
      </c>
      <c r="G363" s="1012" t="s">
        <v>2702</v>
      </c>
      <c r="H363" s="971"/>
      <c r="I363" s="974"/>
      <c r="J363" s="974"/>
      <c r="K363" s="974"/>
      <c r="L363" s="153" t="str">
        <f t="shared" si="18"/>
        <v>6251</v>
      </c>
      <c r="M363" s="154" t="str">
        <f t="shared" si="19"/>
        <v>DEP. DU TRAITEMENT DES DONNEES</v>
      </c>
      <c r="N363" s="155">
        <f>+IF(OR($Q363=Parametres!$G$2,$Q363=Parametres!$G$3),I363,C363)</f>
        <v>14769.94</v>
      </c>
      <c r="O363" s="155">
        <f>+IF(OR($Q363=Parametres!$G$2,$Q363=Parametres!$G$3),J363,D363)</f>
        <v>2333.15</v>
      </c>
      <c r="P363" s="155">
        <f>+IF(OR($Q363=Parametres!$G$2,$Q363=Parametres!$G$3),K363,E363)</f>
        <v>17103.09</v>
      </c>
      <c r="Q363" s="154" t="str">
        <f t="shared" si="26"/>
        <v>7-Dépenses</v>
      </c>
      <c r="R363" s="153" t="str">
        <f t="shared" si="26"/>
        <v>6151</v>
      </c>
      <c r="S363" s="154">
        <f t="shared" si="26"/>
        <v>0</v>
      </c>
      <c r="T363" s="156" t="str">
        <f>+VLOOKUP($L363,Data_Validation!$A:$D,1,0)</f>
        <v>6251</v>
      </c>
      <c r="U363" s="156" t="str">
        <f>+VLOOKUP($L363,Data_Validation!$A:$D,3,0)</f>
        <v>Véhicules usagés</v>
      </c>
      <c r="V363" s="156" t="str">
        <f>+VLOOKUP($L363,Data_Validation!$A:$D,4,0)</f>
        <v>Informatique</v>
      </c>
      <c r="W363" s="156" t="str">
        <f>+VLOOKUP($L363,Data_Validation!$A:$E,5,0)</f>
        <v>$</v>
      </c>
      <c r="X363" s="156">
        <f>+VLOOKUP($L363,Data_Validation!$A:$F,6,0)</f>
        <v>0</v>
      </c>
    </row>
    <row r="364" spans="1:24" ht="15" hidden="1" customHeight="1">
      <c r="A364" s="1012" t="s">
        <v>1206</v>
      </c>
      <c r="B364" s="1012" t="s">
        <v>2602</v>
      </c>
      <c r="C364" s="1014">
        <v>1332</v>
      </c>
      <c r="D364" s="1014">
        <v>222</v>
      </c>
      <c r="E364" s="1014">
        <v>1554</v>
      </c>
      <c r="F364" s="1012" t="s">
        <v>401</v>
      </c>
      <c r="G364" s="1012" t="s">
        <v>2588</v>
      </c>
      <c r="H364" s="971"/>
      <c r="I364" s="974"/>
      <c r="J364" s="974"/>
      <c r="K364" s="974"/>
      <c r="L364" s="153" t="str">
        <f t="shared" si="18"/>
        <v>6252</v>
      </c>
      <c r="M364" s="154" t="str">
        <f t="shared" si="19"/>
        <v>PAPETERIE</v>
      </c>
      <c r="N364" s="155">
        <f>+IF(OR($Q364=Parametres!$G$2,$Q364=Parametres!$G$3),I364,C364)</f>
        <v>1332</v>
      </c>
      <c r="O364" s="155">
        <f>+IF(OR($Q364=Parametres!$G$2,$Q364=Parametres!$G$3),J364,D364)</f>
        <v>222</v>
      </c>
      <c r="P364" s="155">
        <f>+IF(OR($Q364=Parametres!$G$2,$Q364=Parametres!$G$3),K364,E364)</f>
        <v>1554</v>
      </c>
      <c r="Q364" s="154" t="str">
        <f t="shared" si="26"/>
        <v>7-Dépenses</v>
      </c>
      <c r="R364" s="153" t="str">
        <f t="shared" si="26"/>
        <v>6152</v>
      </c>
      <c r="S364" s="154">
        <f t="shared" si="26"/>
        <v>0</v>
      </c>
      <c r="T364" s="156" t="str">
        <f>+VLOOKUP($L364,Data_Validation!$A:$D,1,0)</f>
        <v>6252</v>
      </c>
      <c r="U364" s="156" t="str">
        <f>+VLOOKUP($L364,Data_Validation!$A:$D,3,0)</f>
        <v>Véhicules usagés</v>
      </c>
      <c r="V364" s="156" t="str">
        <f>+VLOOKUP($L364,Data_Validation!$A:$D,4,0)</f>
        <v>Papeterie</v>
      </c>
      <c r="W364" s="156" t="str">
        <f>+VLOOKUP($L364,Data_Validation!$A:$E,5,0)</f>
        <v>$</v>
      </c>
      <c r="X364" s="156">
        <f>+VLOOKUP($L364,Data_Validation!$A:$F,6,0)</f>
        <v>0</v>
      </c>
    </row>
    <row r="365" spans="1:24" ht="15" hidden="1" customHeight="1">
      <c r="A365" s="1012" t="s">
        <v>1154</v>
      </c>
      <c r="B365" s="1012" t="s">
        <v>2595</v>
      </c>
      <c r="C365" s="1014">
        <v>862.14</v>
      </c>
      <c r="D365" s="1014">
        <v>150.69999999999999</v>
      </c>
      <c r="E365" s="1014">
        <v>1012.84</v>
      </c>
      <c r="F365" s="1012" t="s">
        <v>401</v>
      </c>
      <c r="G365" s="1012" t="s">
        <v>2592</v>
      </c>
      <c r="H365" s="971"/>
      <c r="I365" s="974"/>
      <c r="J365" s="974"/>
      <c r="K365" s="974"/>
      <c r="L365" s="153" t="str">
        <f t="shared" si="18"/>
        <v>6253</v>
      </c>
      <c r="M365" s="154" t="str">
        <f t="shared" si="19"/>
        <v>TELEPHONE ET TELEX</v>
      </c>
      <c r="N365" s="155">
        <f>+IF(OR($Q365=Parametres!$G$2,$Q365=Parametres!$G$3),I365,C365)</f>
        <v>862.14</v>
      </c>
      <c r="O365" s="155">
        <f>+IF(OR($Q365=Parametres!$G$2,$Q365=Parametres!$G$3),J365,D365)</f>
        <v>150.69999999999999</v>
      </c>
      <c r="P365" s="155">
        <f>+IF(OR($Q365=Parametres!$G$2,$Q365=Parametres!$G$3),K365,E365)</f>
        <v>1012.84</v>
      </c>
      <c r="Q365" s="154" t="str">
        <f t="shared" si="26"/>
        <v>7-Dépenses</v>
      </c>
      <c r="R365" s="153" t="str">
        <f t="shared" si="26"/>
        <v>6153</v>
      </c>
      <c r="S365" s="154">
        <f t="shared" si="26"/>
        <v>0</v>
      </c>
      <c r="T365" s="156" t="str">
        <f>+VLOOKUP($L365,Data_Validation!$A:$D,1,0)</f>
        <v>6253</v>
      </c>
      <c r="U365" s="156" t="str">
        <f>+VLOOKUP($L365,Data_Validation!$A:$D,3,0)</f>
        <v>Véhicules usagés</v>
      </c>
      <c r="V365" s="156" t="str">
        <f>+VLOOKUP($L365,Data_Validation!$A:$D,4,0)</f>
        <v>Téléphone</v>
      </c>
      <c r="W365" s="156" t="str">
        <f>+VLOOKUP($L365,Data_Validation!$A:$E,5,0)</f>
        <v>$</v>
      </c>
      <c r="X365" s="156">
        <f>+VLOOKUP($L365,Data_Validation!$A:$F,6,0)</f>
        <v>0</v>
      </c>
    </row>
    <row r="366" spans="1:24" ht="15" hidden="1" customHeight="1">
      <c r="A366" s="1012" t="s">
        <v>1237</v>
      </c>
      <c r="B366" s="1012" t="s">
        <v>2666</v>
      </c>
      <c r="C366" s="1014">
        <v>4017.98</v>
      </c>
      <c r="D366" s="1014">
        <v>665.7</v>
      </c>
      <c r="E366" s="1014">
        <v>4683.68</v>
      </c>
      <c r="F366" s="1012" t="s">
        <v>401</v>
      </c>
      <c r="G366" s="1012" t="s">
        <v>2637</v>
      </c>
      <c r="H366" s="971"/>
      <c r="I366" s="974"/>
      <c r="J366" s="974"/>
      <c r="K366" s="974"/>
      <c r="L366" s="153" t="str">
        <f t="shared" si="18"/>
        <v>6255</v>
      </c>
      <c r="M366" s="154" t="str">
        <f t="shared" si="19"/>
        <v>DEPENSES DIVERS</v>
      </c>
      <c r="N366" s="155">
        <f>+IF(OR($Q366=Parametres!$G$2,$Q366=Parametres!$G$3),I366,C366)</f>
        <v>4017.98</v>
      </c>
      <c r="O366" s="155">
        <f>+IF(OR($Q366=Parametres!$G$2,$Q366=Parametres!$G$3),J366,D366)</f>
        <v>665.7</v>
      </c>
      <c r="P366" s="155">
        <f>+IF(OR($Q366=Parametres!$G$2,$Q366=Parametres!$G$3),K366,E366)</f>
        <v>4683.68</v>
      </c>
      <c r="Q366" s="154" t="str">
        <f t="shared" si="26"/>
        <v>7-Dépenses</v>
      </c>
      <c r="R366" s="153" t="str">
        <f t="shared" si="26"/>
        <v>6155</v>
      </c>
      <c r="S366" s="154">
        <f t="shared" si="26"/>
        <v>0</v>
      </c>
      <c r="T366" s="156" t="str">
        <f>+VLOOKUP($L366,Data_Validation!$A:$D,1,0)</f>
        <v>6255</v>
      </c>
      <c r="U366" s="156" t="str">
        <f>+VLOOKUP($L366,Data_Validation!$A:$D,3,0)</f>
        <v>Véhicules usagés</v>
      </c>
      <c r="V366" s="156" t="str">
        <f>+VLOOKUP($L366,Data_Validation!$A:$D,4,0)</f>
        <v>Divers</v>
      </c>
      <c r="W366" s="156" t="str">
        <f>+VLOOKUP($L366,Data_Validation!$A:$E,5,0)</f>
        <v>$</v>
      </c>
      <c r="X366" s="156">
        <f>+VLOOKUP($L366,Data_Validation!$A:$F,6,0)</f>
        <v>0</v>
      </c>
    </row>
    <row r="367" spans="1:24" ht="15" hidden="1" customHeight="1">
      <c r="A367" s="1012" t="s">
        <v>1247</v>
      </c>
      <c r="B367" s="1012" t="s">
        <v>2676</v>
      </c>
      <c r="C367" s="1014">
        <v>4375.4399999999996</v>
      </c>
      <c r="D367" s="1014">
        <v>729.24</v>
      </c>
      <c r="E367" s="1014">
        <v>5104.68</v>
      </c>
      <c r="F367" s="1012" t="s">
        <v>401</v>
      </c>
      <c r="G367" s="1012" t="s">
        <v>2470</v>
      </c>
      <c r="H367" s="971"/>
      <c r="I367" s="974"/>
      <c r="J367" s="974"/>
      <c r="K367" s="974"/>
      <c r="L367" s="153" t="str">
        <f t="shared" si="18"/>
        <v>6256</v>
      </c>
      <c r="M367" s="154" t="str">
        <f t="shared" si="19"/>
        <v>FRAIS REPRESENTATION - USAGE</v>
      </c>
      <c r="N367" s="155">
        <f>+IF(OR($Q367=Parametres!$G$2,$Q367=Parametres!$G$3),I367,C367)</f>
        <v>4375.4399999999996</v>
      </c>
      <c r="O367" s="155">
        <f>+IF(OR($Q367=Parametres!$G$2,$Q367=Parametres!$G$3),J367,D367)</f>
        <v>729.24</v>
      </c>
      <c r="P367" s="155">
        <f>+IF(OR($Q367=Parametres!$G$2,$Q367=Parametres!$G$3),K367,E367)</f>
        <v>5104.68</v>
      </c>
      <c r="Q367" s="154" t="str">
        <f t="shared" si="26"/>
        <v>7-Dépenses</v>
      </c>
      <c r="R367" s="153" t="str">
        <f t="shared" si="26"/>
        <v>6156</v>
      </c>
      <c r="S367" s="154">
        <f t="shared" si="26"/>
        <v>0</v>
      </c>
      <c r="T367" s="156" t="str">
        <f>+VLOOKUP($L367,Data_Validation!$A:$D,1,0)</f>
        <v>6256</v>
      </c>
      <c r="U367" s="156" t="str">
        <f>+VLOOKUP($L367,Data_Validation!$A:$D,3,0)</f>
        <v>Véhicules usagés</v>
      </c>
      <c r="V367" s="156" t="str">
        <f>+VLOOKUP($L367,Data_Validation!$A:$D,4,0)</f>
        <v>Frais de déplacement</v>
      </c>
      <c r="W367" s="156" t="str">
        <f>+VLOOKUP($L367,Data_Validation!$A:$E,5,0)</f>
        <v>$</v>
      </c>
      <c r="X367" s="156">
        <f>+VLOOKUP($L367,Data_Validation!$A:$F,6,0)</f>
        <v>0</v>
      </c>
    </row>
    <row r="368" spans="1:24" ht="15" hidden="1" customHeight="1">
      <c r="A368" s="1012" t="s">
        <v>1308</v>
      </c>
      <c r="B368" s="1012" t="s">
        <v>2698</v>
      </c>
      <c r="C368" s="1014">
        <v>10731.08</v>
      </c>
      <c r="D368" s="1014">
        <v>1657.4</v>
      </c>
      <c r="E368" s="1014">
        <v>12388.48</v>
      </c>
      <c r="F368" s="1012" t="s">
        <v>401</v>
      </c>
      <c r="G368" s="1012" t="s">
        <v>2662</v>
      </c>
      <c r="H368" s="971"/>
      <c r="I368" s="974"/>
      <c r="J368" s="974"/>
      <c r="K368" s="974"/>
      <c r="L368" s="153" t="str">
        <f t="shared" si="18"/>
        <v>6259</v>
      </c>
      <c r="M368" s="154" t="str">
        <f t="shared" si="19"/>
        <v>SERVICE EXTERIEUR</v>
      </c>
      <c r="N368" s="155">
        <f>+IF(OR($Q368=Parametres!$G$2,$Q368=Parametres!$G$3),I368,C368)</f>
        <v>10731.08</v>
      </c>
      <c r="O368" s="155">
        <f>+IF(OR($Q368=Parametres!$G$2,$Q368=Parametres!$G$3),J368,D368)</f>
        <v>1657.4</v>
      </c>
      <c r="P368" s="155">
        <f>+IF(OR($Q368=Parametres!$G$2,$Q368=Parametres!$G$3),K368,E368)</f>
        <v>12388.48</v>
      </c>
      <c r="Q368" s="154" t="str">
        <f t="shared" si="26"/>
        <v>7-Dépenses</v>
      </c>
      <c r="R368" s="153" t="str">
        <f t="shared" si="26"/>
        <v>6159</v>
      </c>
      <c r="S368" s="154">
        <f t="shared" si="26"/>
        <v>0</v>
      </c>
      <c r="T368" s="156" t="str">
        <f>+VLOOKUP($L368,Data_Validation!$A:$D,1,0)</f>
        <v>6259</v>
      </c>
      <c r="U368" s="156" t="str">
        <f>+VLOOKUP($L368,Data_Validation!$A:$D,3,0)</f>
        <v>Véhicules usagés</v>
      </c>
      <c r="V368" s="156" t="str">
        <f>+VLOOKUP($L368,Data_Validation!$A:$D,4,0)</f>
        <v>Services extérieurs</v>
      </c>
      <c r="W368" s="156" t="str">
        <f>+VLOOKUP($L368,Data_Validation!$A:$E,5,0)</f>
        <v>$</v>
      </c>
      <c r="X368" s="156">
        <f>+VLOOKUP($L368,Data_Validation!$A:$F,6,0)</f>
        <v>0</v>
      </c>
    </row>
    <row r="369" spans="1:24" ht="15.75" hidden="1" customHeight="1">
      <c r="A369" s="1012" t="s">
        <v>1333</v>
      </c>
      <c r="B369" s="1012" t="s">
        <v>2680</v>
      </c>
      <c r="C369" s="1014">
        <v>6480</v>
      </c>
      <c r="D369" s="1014">
        <v>1111.44</v>
      </c>
      <c r="E369" s="1014">
        <v>7591.44</v>
      </c>
      <c r="F369" s="1012" t="s">
        <v>401</v>
      </c>
      <c r="G369" s="1012" t="s">
        <v>2653</v>
      </c>
      <c r="H369" s="971"/>
      <c r="I369" s="974"/>
      <c r="J369" s="974"/>
      <c r="K369" s="974"/>
      <c r="L369" s="153" t="str">
        <f t="shared" si="18"/>
        <v>6261</v>
      </c>
      <c r="M369" s="154" t="str">
        <f t="shared" si="19"/>
        <v>DEPRECIATION EQUIP. &amp; FIXTURES</v>
      </c>
      <c r="N369" s="155">
        <f>+IF(OR($Q369=Parametres!$G$2,$Q369=Parametres!$G$3),I369,C369)</f>
        <v>6480</v>
      </c>
      <c r="O369" s="155">
        <f>+IF(OR($Q369=Parametres!$G$2,$Q369=Parametres!$G$3),J369,D369)</f>
        <v>1111.44</v>
      </c>
      <c r="P369" s="155">
        <f>+IF(OR($Q369=Parametres!$G$2,$Q369=Parametres!$G$3),K369,E369)</f>
        <v>7591.44</v>
      </c>
      <c r="Q369" s="154" t="str">
        <f t="shared" si="26"/>
        <v>7-Dépenses</v>
      </c>
      <c r="R369" s="153" t="str">
        <f t="shared" si="26"/>
        <v>6161</v>
      </c>
      <c r="S369" s="154">
        <f t="shared" si="26"/>
        <v>0</v>
      </c>
      <c r="T369" s="156" t="str">
        <f>+VLOOKUP($L369,Data_Validation!$A:$D,1,0)</f>
        <v>6261</v>
      </c>
      <c r="U369" s="156" t="str">
        <f>+VLOOKUP($L369,Data_Validation!$A:$D,3,0)</f>
        <v>Véhicules usagés</v>
      </c>
      <c r="V369" s="156" t="str">
        <f>+VLOOKUP($L369,Data_Validation!$A:$D,4,0)</f>
        <v>Amortissement</v>
      </c>
      <c r="W369" s="156" t="str">
        <f>+VLOOKUP($L369,Data_Validation!$A:$E,5,0)</f>
        <v>$</v>
      </c>
      <c r="X369" s="156">
        <f>+VLOOKUP($L369,Data_Validation!$A:$F,6,0)</f>
        <v>0</v>
      </c>
    </row>
    <row r="370" spans="1:24" ht="15" hidden="1" customHeight="1">
      <c r="A370" s="1012" t="s">
        <v>936</v>
      </c>
      <c r="B370" s="1012" t="s">
        <v>2465</v>
      </c>
      <c r="C370" s="1014">
        <v>288</v>
      </c>
      <c r="D370" s="1014">
        <v>48</v>
      </c>
      <c r="E370" s="1014">
        <v>336</v>
      </c>
      <c r="F370" s="1012" t="s">
        <v>401</v>
      </c>
      <c r="G370" s="1012" t="s">
        <v>2463</v>
      </c>
      <c r="H370" s="971"/>
      <c r="I370" s="974"/>
      <c r="J370" s="974"/>
      <c r="K370" s="974"/>
      <c r="L370" s="153" t="str">
        <f t="shared" si="18"/>
        <v>6262</v>
      </c>
      <c r="M370" s="154" t="str">
        <f t="shared" si="19"/>
        <v>LOCATION D'EQUIPEMENTS</v>
      </c>
      <c r="N370" s="155">
        <f>+IF(OR($Q370=Parametres!$G$2,$Q370=Parametres!$G$3),I370,C370)</f>
        <v>288</v>
      </c>
      <c r="O370" s="155">
        <f>+IF(OR($Q370=Parametres!$G$2,$Q370=Parametres!$G$3),J370,D370)</f>
        <v>48</v>
      </c>
      <c r="P370" s="155">
        <f>+IF(OR($Q370=Parametres!$G$2,$Q370=Parametres!$G$3),K370,E370)</f>
        <v>336</v>
      </c>
      <c r="Q370" s="154" t="str">
        <f t="shared" ref="Q370:S385" si="27">+F370</f>
        <v>7-Dépenses</v>
      </c>
      <c r="R370" s="153" t="str">
        <f t="shared" si="27"/>
        <v>6162</v>
      </c>
      <c r="S370" s="154">
        <f t="shared" si="27"/>
        <v>0</v>
      </c>
      <c r="T370" s="156" t="str">
        <f>+VLOOKUP($L370,Data_Validation!$A:$D,1,0)</f>
        <v>6262</v>
      </c>
      <c r="U370" s="156" t="str">
        <f>+VLOOKUP($L370,Data_Validation!$A:$D,3,0)</f>
        <v>Véhicules usagés</v>
      </c>
      <c r="V370" s="156" t="str">
        <f>+VLOOKUP($L370,Data_Validation!$A:$D,4,0)</f>
        <v>Location équipement</v>
      </c>
      <c r="W370" s="156" t="str">
        <f>+VLOOKUP($L370,Data_Validation!$A:$E,5,0)</f>
        <v>$</v>
      </c>
      <c r="X370" s="156">
        <f>+VLOOKUP($L370,Data_Validation!$A:$F,6,0)</f>
        <v>0</v>
      </c>
    </row>
    <row r="371" spans="1:24" ht="15" hidden="1" customHeight="1">
      <c r="A371" s="1012" t="s">
        <v>1380</v>
      </c>
      <c r="B371" s="1012" t="s">
        <v>2633</v>
      </c>
      <c r="C371" s="1014">
        <v>2642.4</v>
      </c>
      <c r="D371" s="1014">
        <v>440.4</v>
      </c>
      <c r="E371" s="1014">
        <v>3082.8</v>
      </c>
      <c r="F371" s="1012" t="s">
        <v>401</v>
      </c>
      <c r="G371" s="1012" t="s">
        <v>2604</v>
      </c>
      <c r="H371" s="971"/>
      <c r="I371" s="974"/>
      <c r="J371" s="974"/>
      <c r="K371" s="974"/>
      <c r="L371" s="153" t="str">
        <f t="shared" si="18"/>
        <v>6281</v>
      </c>
      <c r="M371" s="154" t="str">
        <f t="shared" si="19"/>
        <v>CHAUFFAGE,ELECTRICITE,EAU-USAGE</v>
      </c>
      <c r="N371" s="155">
        <f>+IF(OR($Q371=Parametres!$G$2,$Q371=Parametres!$G$3),I371,C371)</f>
        <v>2642.4</v>
      </c>
      <c r="O371" s="155">
        <f>+IF(OR($Q371=Parametres!$G$2,$Q371=Parametres!$G$3),J371,D371)</f>
        <v>440.4</v>
      </c>
      <c r="P371" s="155">
        <f>+IF(OR($Q371=Parametres!$G$2,$Q371=Parametres!$G$3),K371,E371)</f>
        <v>3082.8</v>
      </c>
      <c r="Q371" s="154" t="str">
        <f t="shared" si="27"/>
        <v>7-Dépenses</v>
      </c>
      <c r="R371" s="153" t="str">
        <f t="shared" si="27"/>
        <v>6181</v>
      </c>
      <c r="S371" s="154">
        <f t="shared" si="27"/>
        <v>0</v>
      </c>
      <c r="T371" s="156" t="str">
        <f>+VLOOKUP($L371,Data_Validation!$A:$D,1,0)</f>
        <v>6281</v>
      </c>
      <c r="U371" s="156" t="str">
        <f>+VLOOKUP($L371,Data_Validation!$A:$D,3,0)</f>
        <v>Véhicules usagés</v>
      </c>
      <c r="V371" s="156" t="str">
        <f>+VLOOKUP($L371,Data_Validation!$A:$D,4,0)</f>
        <v>Chauffage, éclairage</v>
      </c>
      <c r="W371" s="156" t="str">
        <f>+VLOOKUP($L371,Data_Validation!$A:$E,5,0)</f>
        <v>$</v>
      </c>
      <c r="X371" s="156">
        <f>+VLOOKUP($L371,Data_Validation!$A:$F,6,0)</f>
        <v>0</v>
      </c>
    </row>
    <row r="372" spans="1:24" ht="15" hidden="1" customHeight="1">
      <c r="A372" s="1012" t="s">
        <v>1462</v>
      </c>
      <c r="B372" s="1012" t="s">
        <v>2724</v>
      </c>
      <c r="C372" s="1014">
        <v>19147.150000000001</v>
      </c>
      <c r="D372" s="1014">
        <v>3919.98</v>
      </c>
      <c r="E372" s="1014">
        <v>23067.13</v>
      </c>
      <c r="F372" s="1012" t="s">
        <v>401</v>
      </c>
      <c r="G372" s="1012" t="s">
        <v>2709</v>
      </c>
      <c r="H372" s="971"/>
      <c r="I372" s="974"/>
      <c r="J372" s="974"/>
      <c r="K372" s="974"/>
      <c r="L372" s="153" t="str">
        <f t="shared" si="18"/>
        <v>6282</v>
      </c>
      <c r="M372" s="154" t="str">
        <f t="shared" si="19"/>
        <v>LOYER - USAGE</v>
      </c>
      <c r="N372" s="155">
        <f>+IF(OR($Q372=Parametres!$G$2,$Q372=Parametres!$G$3),I372,C372)</f>
        <v>19147.150000000001</v>
      </c>
      <c r="O372" s="155">
        <f>+IF(OR($Q372=Parametres!$G$2,$Q372=Parametres!$G$3),J372,D372)</f>
        <v>3919.98</v>
      </c>
      <c r="P372" s="155">
        <f>+IF(OR($Q372=Parametres!$G$2,$Q372=Parametres!$G$3),K372,E372)</f>
        <v>23067.13</v>
      </c>
      <c r="Q372" s="154" t="str">
        <f t="shared" si="27"/>
        <v>7-Dépenses</v>
      </c>
      <c r="R372" s="153" t="str">
        <f t="shared" si="27"/>
        <v>6182</v>
      </c>
      <c r="S372" s="154">
        <f t="shared" si="27"/>
        <v>0</v>
      </c>
      <c r="T372" s="156" t="str">
        <f>+VLOOKUP($L372,Data_Validation!$A:$D,1,0)</f>
        <v>6282</v>
      </c>
      <c r="U372" s="156" t="str">
        <f>+VLOOKUP($L372,Data_Validation!$A:$D,3,0)</f>
        <v>Véhicules usagés</v>
      </c>
      <c r="V372" s="156" t="str">
        <f>+VLOOKUP($L372,Data_Validation!$A:$D,4,0)</f>
        <v>Loyer</v>
      </c>
      <c r="W372" s="156" t="str">
        <f>+VLOOKUP($L372,Data_Validation!$A:$E,5,0)</f>
        <v>$</v>
      </c>
      <c r="X372" s="156">
        <f>+VLOOKUP($L372,Data_Validation!$A:$F,6,0)</f>
        <v>0</v>
      </c>
    </row>
    <row r="373" spans="1:24" ht="15" hidden="1" customHeight="1">
      <c r="A373" s="1012" t="s">
        <v>1290</v>
      </c>
      <c r="B373" s="1012" t="s">
        <v>2615</v>
      </c>
      <c r="C373" s="1014">
        <v>1080</v>
      </c>
      <c r="D373" s="1014">
        <v>180</v>
      </c>
      <c r="E373" s="1014">
        <v>1260</v>
      </c>
      <c r="F373" s="1012" t="s">
        <v>401</v>
      </c>
      <c r="G373" s="1012" t="s">
        <v>2594</v>
      </c>
      <c r="H373" s="971"/>
      <c r="I373" s="974"/>
      <c r="J373" s="974"/>
      <c r="K373" s="974"/>
      <c r="L373" s="153" t="str">
        <f t="shared" si="18"/>
        <v>6286</v>
      </c>
      <c r="M373" s="154" t="str">
        <f t="shared" si="19"/>
        <v>ASSURANCE BATISSE &amp; AMEL.-USAGE</v>
      </c>
      <c r="N373" s="155">
        <f>+IF(OR($Q373=Parametres!$G$2,$Q373=Parametres!$G$3),I373,C373)</f>
        <v>1080</v>
      </c>
      <c r="O373" s="155">
        <f>+IF(OR($Q373=Parametres!$G$2,$Q373=Parametres!$G$3),J373,D373)</f>
        <v>180</v>
      </c>
      <c r="P373" s="155">
        <f>+IF(OR($Q373=Parametres!$G$2,$Q373=Parametres!$G$3),K373,E373)</f>
        <v>1260</v>
      </c>
      <c r="Q373" s="154" t="str">
        <f t="shared" si="27"/>
        <v>7-Dépenses</v>
      </c>
      <c r="R373" s="153" t="str">
        <f t="shared" si="27"/>
        <v>6186</v>
      </c>
      <c r="S373" s="154">
        <f t="shared" si="27"/>
        <v>0</v>
      </c>
      <c r="T373" s="156" t="str">
        <f>+VLOOKUP($L373,Data_Validation!$A:$D,1,0)</f>
        <v>6286</v>
      </c>
      <c r="U373" s="156" t="str">
        <f>+VLOOKUP($L373,Data_Validation!$A:$D,3,0)</f>
        <v>Véhicules usagés</v>
      </c>
      <c r="V373" s="156" t="str">
        <f>+VLOOKUP($L373,Data_Validation!$A:$D,4,0)</f>
        <v>Assurances</v>
      </c>
      <c r="W373" s="156" t="str">
        <f>+VLOOKUP($L373,Data_Validation!$A:$E,5,0)</f>
        <v>$</v>
      </c>
      <c r="X373" s="156">
        <f>+VLOOKUP($L373,Data_Validation!$A:$F,6,0)</f>
        <v>0</v>
      </c>
    </row>
    <row r="374" spans="1:24" ht="15.75" hidden="1" customHeight="1">
      <c r="A374" s="1012" t="s">
        <v>1203</v>
      </c>
      <c r="B374" s="1012" t="s">
        <v>2651</v>
      </c>
      <c r="C374" s="1014">
        <v>3384</v>
      </c>
      <c r="D374" s="1014">
        <v>564</v>
      </c>
      <c r="E374" s="1014">
        <v>3948</v>
      </c>
      <c r="F374" s="1012" t="s">
        <v>401</v>
      </c>
      <c r="G374" s="1012" t="s">
        <v>2614</v>
      </c>
      <c r="H374" s="971"/>
      <c r="I374" s="974"/>
      <c r="J374" s="974"/>
      <c r="K374" s="974"/>
      <c r="L374" s="153" t="str">
        <f t="shared" si="18"/>
        <v>6287</v>
      </c>
      <c r="M374" s="154" t="str">
        <f t="shared" si="19"/>
        <v>TAXES FONCIERES - USAGE</v>
      </c>
      <c r="N374" s="155">
        <f>+IF(OR($Q374=Parametres!$G$2,$Q374=Parametres!$G$3),I374,C374)</f>
        <v>3384</v>
      </c>
      <c r="O374" s="155">
        <f>+IF(OR($Q374=Parametres!$G$2,$Q374=Parametres!$G$3),J374,D374)</f>
        <v>564</v>
      </c>
      <c r="P374" s="155">
        <f>+IF(OR($Q374=Parametres!$G$2,$Q374=Parametres!$G$3),K374,E374)</f>
        <v>3948</v>
      </c>
      <c r="Q374" s="154" t="str">
        <f t="shared" si="27"/>
        <v>7-Dépenses</v>
      </c>
      <c r="R374" s="153" t="str">
        <f t="shared" si="27"/>
        <v>6187</v>
      </c>
      <c r="S374" s="154">
        <f t="shared" si="27"/>
        <v>0</v>
      </c>
      <c r="T374" s="156" t="str">
        <f>+VLOOKUP($L374,Data_Validation!$A:$D,1,0)</f>
        <v>6287</v>
      </c>
      <c r="U374" s="156" t="str">
        <f>+VLOOKUP($L374,Data_Validation!$A:$D,3,0)</f>
        <v>Véhicules usagés</v>
      </c>
      <c r="V374" s="156" t="str">
        <f>+VLOOKUP($L374,Data_Validation!$A:$D,4,0)</f>
        <v>Taxes foncières</v>
      </c>
      <c r="W374" s="156" t="str">
        <f>+VLOOKUP($L374,Data_Validation!$A:$E,5,0)</f>
        <v>$</v>
      </c>
      <c r="X374" s="156">
        <f>+VLOOKUP($L374,Data_Validation!$A:$F,6,0)</f>
        <v>0</v>
      </c>
    </row>
    <row r="375" spans="1:24" ht="15" hidden="1" customHeight="1">
      <c r="A375" s="1012" t="s">
        <v>1393</v>
      </c>
      <c r="B375" s="1012" t="s">
        <v>2620</v>
      </c>
      <c r="C375" s="1014">
        <v>2268</v>
      </c>
      <c r="D375" s="1014">
        <v>378</v>
      </c>
      <c r="E375" s="1014">
        <v>2646</v>
      </c>
      <c r="F375" s="1012" t="s">
        <v>401</v>
      </c>
      <c r="G375" s="1012" t="s">
        <v>2597</v>
      </c>
      <c r="H375" s="971"/>
      <c r="I375" s="974"/>
      <c r="J375" s="974"/>
      <c r="K375" s="974"/>
      <c r="L375" s="153" t="str">
        <f t="shared" si="18"/>
        <v>6293</v>
      </c>
      <c r="M375" s="154" t="str">
        <f t="shared" si="19"/>
        <v>AUTRE TAXES - USAGES</v>
      </c>
      <c r="N375" s="155">
        <f>+IF(OR($Q375=Parametres!$G$2,$Q375=Parametres!$G$3),I375,C375)</f>
        <v>2268</v>
      </c>
      <c r="O375" s="155">
        <f>+IF(OR($Q375=Parametres!$G$2,$Q375=Parametres!$G$3),J375,D375)</f>
        <v>378</v>
      </c>
      <c r="P375" s="155">
        <f>+IF(OR($Q375=Parametres!$G$2,$Q375=Parametres!$G$3),K375,E375)</f>
        <v>2646</v>
      </c>
      <c r="Q375" s="154" t="str">
        <f t="shared" si="27"/>
        <v>7-Dépenses</v>
      </c>
      <c r="R375" s="153" t="str">
        <f t="shared" si="27"/>
        <v>6193</v>
      </c>
      <c r="S375" s="154">
        <f t="shared" si="27"/>
        <v>0</v>
      </c>
      <c r="T375" s="156" t="str">
        <f>+VLOOKUP($L375,Data_Validation!$A:$D,1,0)</f>
        <v>6293</v>
      </c>
      <c r="U375" s="156" t="str">
        <f>+VLOOKUP($L375,Data_Validation!$A:$D,3,0)</f>
        <v>Véhicules usagés</v>
      </c>
      <c r="V375" s="156" t="str">
        <f>+VLOOKUP($L375,Data_Validation!$A:$D,4,0)</f>
        <v>Taxes d`affaires</v>
      </c>
      <c r="W375" s="156" t="str">
        <f>+VLOOKUP($L375,Data_Validation!$A:$E,5,0)</f>
        <v>$</v>
      </c>
      <c r="X375" s="156">
        <f>+VLOOKUP($L375,Data_Validation!$A:$F,6,0)</f>
        <v>0</v>
      </c>
    </row>
    <row r="376" spans="1:24" ht="15" hidden="1" customHeight="1">
      <c r="A376" s="1012" t="s">
        <v>1318</v>
      </c>
      <c r="B376" s="1012" t="s">
        <v>2664</v>
      </c>
      <c r="C376" s="1014">
        <v>5778</v>
      </c>
      <c r="D376" s="1014">
        <v>963</v>
      </c>
      <c r="E376" s="1014">
        <v>6741</v>
      </c>
      <c r="F376" s="1012" t="s">
        <v>401</v>
      </c>
      <c r="G376" s="1012" t="s">
        <v>2635</v>
      </c>
      <c r="H376" s="971"/>
      <c r="I376" s="974"/>
      <c r="J376" s="974"/>
      <c r="K376" s="974"/>
      <c r="L376" s="153" t="str">
        <f t="shared" si="18"/>
        <v>6294</v>
      </c>
      <c r="M376" s="154" t="str">
        <f t="shared" si="19"/>
        <v>FRAIS PROFESSIONNEL-USAGE</v>
      </c>
      <c r="N376" s="155">
        <f>+IF(OR($Q376=Parametres!$G$2,$Q376=Parametres!$G$3),I376,C376)</f>
        <v>5778</v>
      </c>
      <c r="O376" s="155">
        <f>+IF(OR($Q376=Parametres!$G$2,$Q376=Parametres!$G$3),J376,D376)</f>
        <v>963</v>
      </c>
      <c r="P376" s="155">
        <f>+IF(OR($Q376=Parametres!$G$2,$Q376=Parametres!$G$3),K376,E376)</f>
        <v>6741</v>
      </c>
      <c r="Q376" s="154" t="str">
        <f t="shared" si="27"/>
        <v>7-Dépenses</v>
      </c>
      <c r="R376" s="153" t="str">
        <f t="shared" si="27"/>
        <v>6194</v>
      </c>
      <c r="S376" s="154">
        <f t="shared" si="27"/>
        <v>0</v>
      </c>
      <c r="T376" s="156" t="str">
        <f>+VLOOKUP($L376,Data_Validation!$A:$D,1,0)</f>
        <v>6294</v>
      </c>
      <c r="U376" s="156" t="str">
        <f>+VLOOKUP($L376,Data_Validation!$A:$D,3,0)</f>
        <v>Véhicules usagés</v>
      </c>
      <c r="V376" s="156" t="str">
        <f>+VLOOKUP($L376,Data_Validation!$A:$D,4,0)</f>
        <v>Honoraires</v>
      </c>
      <c r="W376" s="156" t="str">
        <f>+VLOOKUP($L376,Data_Validation!$A:$E,5,0)</f>
        <v>$</v>
      </c>
      <c r="X376" s="156">
        <f>+VLOOKUP($L376,Data_Validation!$A:$F,6,0)</f>
        <v>0</v>
      </c>
    </row>
    <row r="377" spans="1:24" ht="15" hidden="1" customHeight="1">
      <c r="A377" s="1012" t="s">
        <v>1403</v>
      </c>
      <c r="B377" s="1012" t="s">
        <v>2743</v>
      </c>
      <c r="C377" s="1014">
        <v>11663.65</v>
      </c>
      <c r="D377" s="1014">
        <v>2916.33</v>
      </c>
      <c r="E377" s="1014">
        <v>14579.98</v>
      </c>
      <c r="F377" s="1012" t="s">
        <v>401</v>
      </c>
      <c r="G377" s="1012" t="s">
        <v>2467</v>
      </c>
      <c r="H377" s="971"/>
      <c r="I377" s="974"/>
      <c r="J377" s="974"/>
      <c r="K377" s="974"/>
      <c r="L377" s="153" t="str">
        <f t="shared" si="18"/>
        <v>6403</v>
      </c>
      <c r="M377" s="154" t="str">
        <f t="shared" si="19"/>
        <v>RELAT. A LA CLIENTELE &amp; AJUST</v>
      </c>
      <c r="N377" s="155">
        <f>+IF(OR($Q377=Parametres!$G$2,$Q377=Parametres!$G$3),I377,C377)</f>
        <v>11663.65</v>
      </c>
      <c r="O377" s="155">
        <f>+IF(OR($Q377=Parametres!$G$2,$Q377=Parametres!$G$3),J377,D377)</f>
        <v>2916.33</v>
      </c>
      <c r="P377" s="155">
        <f>+IF(OR($Q377=Parametres!$G$2,$Q377=Parametres!$G$3),K377,E377)</f>
        <v>14579.98</v>
      </c>
      <c r="Q377" s="154" t="str">
        <f t="shared" si="27"/>
        <v>7-Dépenses</v>
      </c>
      <c r="R377" s="153" t="str">
        <f t="shared" si="27"/>
        <v>6112</v>
      </c>
      <c r="S377" s="154">
        <f t="shared" si="27"/>
        <v>0</v>
      </c>
      <c r="T377" s="156" t="str">
        <f>+VLOOKUP($L377,Data_Validation!$A:$D,1,0)</f>
        <v>6403</v>
      </c>
      <c r="U377" s="156" t="str">
        <f>+VLOOKUP($L377,Data_Validation!$A:$D,3,0)</f>
        <v>Service</v>
      </c>
      <c r="V377" s="156" t="str">
        <f>+VLOOKUP($L377,Data_Validation!$A:$D,4,0)</f>
        <v>Service gratuit 2</v>
      </c>
      <c r="W377" s="156" t="str">
        <f>+VLOOKUP($L377,Data_Validation!$A:$E,5,0)</f>
        <v>$</v>
      </c>
      <c r="X377" s="156">
        <f>+VLOOKUP($L377,Data_Validation!$A:$F,6,0)</f>
        <v>0</v>
      </c>
    </row>
    <row r="378" spans="1:24" ht="15" hidden="1" customHeight="1">
      <c r="A378" s="1012" t="s">
        <v>1450</v>
      </c>
      <c r="B378" s="1012" t="s">
        <v>2677</v>
      </c>
      <c r="C378" s="1014">
        <v>841.2</v>
      </c>
      <c r="D378" s="1014">
        <v>7.26</v>
      </c>
      <c r="E378" s="1014">
        <v>848.46</v>
      </c>
      <c r="F378" s="1012" t="s">
        <v>401</v>
      </c>
      <c r="G378" s="1012" t="s">
        <v>2467</v>
      </c>
      <c r="H378" s="971"/>
      <c r="I378" s="974"/>
      <c r="J378" s="974"/>
      <c r="K378" s="974"/>
      <c r="L378" s="153" t="str">
        <f t="shared" si="18"/>
        <v>6412</v>
      </c>
      <c r="M378" s="154" t="str">
        <f t="shared" si="19"/>
        <v>AUTORISATION &amp; GAR./VEH. USA</v>
      </c>
      <c r="N378" s="155">
        <f>+IF(OR($Q378=Parametres!$G$2,$Q378=Parametres!$G$3),I378,C378)</f>
        <v>841.2</v>
      </c>
      <c r="O378" s="155">
        <f>+IF(OR($Q378=Parametres!$G$2,$Q378=Parametres!$G$3),J378,D378)</f>
        <v>7.26</v>
      </c>
      <c r="P378" s="155">
        <f>+IF(OR($Q378=Parametres!$G$2,$Q378=Parametres!$G$3),K378,E378)</f>
        <v>848.46</v>
      </c>
      <c r="Q378" s="154" t="str">
        <f t="shared" si="27"/>
        <v>7-Dépenses</v>
      </c>
      <c r="R378" s="153" t="str">
        <f t="shared" si="27"/>
        <v>6112</v>
      </c>
      <c r="S378" s="154">
        <f t="shared" si="27"/>
        <v>0</v>
      </c>
      <c r="T378" s="156" t="str">
        <f>+VLOOKUP($L378,Data_Validation!$A:$D,1,0)</f>
        <v>6412</v>
      </c>
      <c r="U378" s="156" t="str">
        <f>+VLOOKUP($L378,Data_Validation!$A:$D,3,0)</f>
        <v>Service</v>
      </c>
      <c r="V378" s="156" t="str">
        <f>+VLOOKUP($L378,Data_Validation!$A:$D,4,0)</f>
        <v>Service gratuit 2</v>
      </c>
      <c r="W378" s="156" t="str">
        <f>+VLOOKUP($L378,Data_Validation!$A:$E,5,0)</f>
        <v>$</v>
      </c>
      <c r="X378" s="156">
        <f>+VLOOKUP($L378,Data_Validation!$A:$F,6,0)</f>
        <v>0</v>
      </c>
    </row>
    <row r="379" spans="1:24" ht="15.75" hidden="1" customHeight="1">
      <c r="A379" s="1012" t="s">
        <v>1374</v>
      </c>
      <c r="B379" s="1012" t="s">
        <v>2714</v>
      </c>
      <c r="C379" s="1014">
        <v>74143.25</v>
      </c>
      <c r="D379" s="1014">
        <v>11810.63</v>
      </c>
      <c r="E379" s="1014">
        <v>85953.88</v>
      </c>
      <c r="F379" s="1012" t="s">
        <v>401</v>
      </c>
      <c r="G379" s="1012" t="s">
        <v>2113</v>
      </c>
      <c r="H379" s="971"/>
      <c r="I379" s="974"/>
      <c r="J379" s="974"/>
      <c r="K379" s="974"/>
      <c r="L379" s="153" t="str">
        <f t="shared" si="18"/>
        <v>6414</v>
      </c>
      <c r="M379" s="154" t="str">
        <f t="shared" si="19"/>
        <v>PUBLICITE</v>
      </c>
      <c r="N379" s="155">
        <f>+IF(OR($Q379=Parametres!$G$2,$Q379=Parametres!$G$3),I379,C379)</f>
        <v>74143.25</v>
      </c>
      <c r="O379" s="155">
        <f>+IF(OR($Q379=Parametres!$G$2,$Q379=Parametres!$G$3),J379,D379)</f>
        <v>11810.63</v>
      </c>
      <c r="P379" s="155">
        <f>+IF(OR($Q379=Parametres!$G$2,$Q379=Parametres!$G$3),K379,E379)</f>
        <v>85953.88</v>
      </c>
      <c r="Q379" s="154" t="str">
        <f t="shared" si="27"/>
        <v>7-Dépenses</v>
      </c>
      <c r="R379" s="153" t="str">
        <f t="shared" si="27"/>
        <v>6114</v>
      </c>
      <c r="S379" s="154">
        <f t="shared" si="27"/>
        <v>0</v>
      </c>
      <c r="T379" s="156" t="str">
        <f>+VLOOKUP($L379,Data_Validation!$A:$D,1,0)</f>
        <v>6414</v>
      </c>
      <c r="U379" s="156" t="str">
        <f>+VLOOKUP($L379,Data_Validation!$A:$D,3,0)</f>
        <v>Service</v>
      </c>
      <c r="V379" s="156" t="str">
        <f>+VLOOKUP($L379,Data_Validation!$A:$D,4,0)</f>
        <v>Publicité 2</v>
      </c>
      <c r="W379" s="156" t="str">
        <f>+VLOOKUP($L379,Data_Validation!$A:$E,5,0)</f>
        <v>$</v>
      </c>
      <c r="X379" s="156">
        <f>+VLOOKUP($L379,Data_Validation!$A:$F,6,0)</f>
        <v>0</v>
      </c>
    </row>
    <row r="380" spans="1:24" ht="15" hidden="1" customHeight="1">
      <c r="A380" s="1012" t="s">
        <v>1259</v>
      </c>
      <c r="B380" s="1012" t="s">
        <v>2711</v>
      </c>
      <c r="C380" s="1014">
        <v>11757.21</v>
      </c>
      <c r="D380" s="1014">
        <v>2862.65</v>
      </c>
      <c r="E380" s="1014">
        <v>14619.86</v>
      </c>
      <c r="F380" s="1012" t="s">
        <v>401</v>
      </c>
      <c r="G380" s="1012" t="s">
        <v>2648</v>
      </c>
      <c r="H380" s="971"/>
      <c r="I380" s="974"/>
      <c r="J380" s="974"/>
      <c r="K380" s="974"/>
      <c r="L380" s="153" t="str">
        <f t="shared" si="18"/>
        <v>6421</v>
      </c>
      <c r="M380" s="154" t="str">
        <f t="shared" si="19"/>
        <v>SALAIRES - PROPRIETAIRES</v>
      </c>
      <c r="N380" s="155">
        <f>+IF(OR($Q380=Parametres!$G$2,$Q380=Parametres!$G$3),I380,C380)</f>
        <v>11757.21</v>
      </c>
      <c r="O380" s="155">
        <f>+IF(OR($Q380=Parametres!$G$2,$Q380=Parametres!$G$3),J380,D380)</f>
        <v>2862.65</v>
      </c>
      <c r="P380" s="155">
        <f>+IF(OR($Q380=Parametres!$G$2,$Q380=Parametres!$G$3),K380,E380)</f>
        <v>14619.86</v>
      </c>
      <c r="Q380" s="154" t="str">
        <f t="shared" si="27"/>
        <v>7-Dépenses</v>
      </c>
      <c r="R380" s="153" t="str">
        <f t="shared" si="27"/>
        <v>6121</v>
      </c>
      <c r="S380" s="154">
        <f t="shared" si="27"/>
        <v>0</v>
      </c>
      <c r="T380" s="156" t="str">
        <f>+VLOOKUP($L380,Data_Validation!$A:$D,1,0)</f>
        <v>6421</v>
      </c>
      <c r="U380" s="156" t="str">
        <f>+VLOOKUP($L380,Data_Validation!$A:$D,3,0)</f>
        <v>Service</v>
      </c>
      <c r="V380" s="156" t="str">
        <f>+VLOOKUP($L380,Data_Validation!$A:$D,4,0)</f>
        <v>Salaires propriétaire</v>
      </c>
      <c r="W380" s="156" t="str">
        <f>+VLOOKUP($L380,Data_Validation!$A:$E,5,0)</f>
        <v>$</v>
      </c>
      <c r="X380" s="156">
        <f>+VLOOKUP($L380,Data_Validation!$A:$F,6,0)</f>
        <v>0</v>
      </c>
    </row>
    <row r="381" spans="1:24" ht="15" hidden="1" customHeight="1">
      <c r="A381" s="1012" t="s">
        <v>2624</v>
      </c>
      <c r="B381" s="1012" t="s">
        <v>2771</v>
      </c>
      <c r="C381" s="1014">
        <v>80308.929999999993</v>
      </c>
      <c r="D381" s="1014">
        <v>10486.98</v>
      </c>
      <c r="E381" s="1014">
        <v>90795.91</v>
      </c>
      <c r="F381" s="1012" t="s">
        <v>401</v>
      </c>
      <c r="G381" s="1012" t="s">
        <v>2626</v>
      </c>
      <c r="H381" s="971"/>
      <c r="I381" s="974"/>
      <c r="J381" s="974"/>
      <c r="K381" s="974"/>
      <c r="L381" s="153" t="str">
        <f t="shared" si="18"/>
        <v>6422</v>
      </c>
      <c r="M381" s="154" t="str">
        <f t="shared" si="19"/>
        <v>SAL SUPERVISION / GERANT</v>
      </c>
      <c r="N381" s="155">
        <f>+IF(OR($Q381=Parametres!$G$2,$Q381=Parametres!$G$3),I381,C381)</f>
        <v>80308.929999999993</v>
      </c>
      <c r="O381" s="155">
        <f>+IF(OR($Q381=Parametres!$G$2,$Q381=Parametres!$G$3),J381,D381)</f>
        <v>10486.98</v>
      </c>
      <c r="P381" s="155">
        <f>+IF(OR($Q381=Parametres!$G$2,$Q381=Parametres!$G$3),K381,E381)</f>
        <v>90795.91</v>
      </c>
      <c r="Q381" s="154" t="str">
        <f t="shared" si="27"/>
        <v>7-Dépenses</v>
      </c>
      <c r="R381" s="153" t="str">
        <f t="shared" si="27"/>
        <v>6122</v>
      </c>
      <c r="S381" s="154">
        <f t="shared" si="27"/>
        <v>0</v>
      </c>
      <c r="T381" s="156" t="str">
        <f>+VLOOKUP($L381,Data_Validation!$A:$D,1,0)</f>
        <v>6422</v>
      </c>
      <c r="U381" s="156" t="str">
        <f>+VLOOKUP($L381,Data_Validation!$A:$D,3,0)</f>
        <v>Service</v>
      </c>
      <c r="V381" s="156" t="str">
        <f>+VLOOKUP($L381,Data_Validation!$A:$D,4,0)</f>
        <v>Salaires cadres</v>
      </c>
      <c r="W381" s="156" t="str">
        <f>+VLOOKUP($L381,Data_Validation!$A:$E,5,0)</f>
        <v>$</v>
      </c>
      <c r="X381" s="156">
        <f>+VLOOKUP($L381,Data_Validation!$A:$F,6,0)</f>
        <v>0</v>
      </c>
    </row>
    <row r="382" spans="1:24" ht="15" hidden="1" customHeight="1">
      <c r="A382" s="1012" t="s">
        <v>1266</v>
      </c>
      <c r="B382" s="1012" t="s">
        <v>2766</v>
      </c>
      <c r="C382" s="1014">
        <v>53695.98</v>
      </c>
      <c r="D382" s="1014">
        <v>7262.3</v>
      </c>
      <c r="E382" s="1014">
        <v>60958.28</v>
      </c>
      <c r="F382" s="1012" t="s">
        <v>401</v>
      </c>
      <c r="G382" s="1012" t="s">
        <v>2679</v>
      </c>
      <c r="H382" s="971"/>
      <c r="I382" s="974"/>
      <c r="J382" s="974"/>
      <c r="K382" s="974"/>
      <c r="L382" s="153" t="str">
        <f t="shared" si="18"/>
        <v>6423</v>
      </c>
      <c r="M382" s="154" t="str">
        <f t="shared" si="19"/>
        <v>SAL. &amp; RENUM. CLERICAL</v>
      </c>
      <c r="N382" s="155">
        <f>+IF(OR($Q382=Parametres!$G$2,$Q382=Parametres!$G$3),I382,C382)</f>
        <v>53695.98</v>
      </c>
      <c r="O382" s="155">
        <f>+IF(OR($Q382=Parametres!$G$2,$Q382=Parametres!$G$3),J382,D382)</f>
        <v>7262.3</v>
      </c>
      <c r="P382" s="155">
        <f>+IF(OR($Q382=Parametres!$G$2,$Q382=Parametres!$G$3),K382,E382)</f>
        <v>60958.28</v>
      </c>
      <c r="Q382" s="154" t="str">
        <f t="shared" si="27"/>
        <v>7-Dépenses</v>
      </c>
      <c r="R382" s="153" t="str">
        <f t="shared" si="27"/>
        <v>6123</v>
      </c>
      <c r="S382" s="154">
        <f t="shared" si="27"/>
        <v>0</v>
      </c>
      <c r="T382" s="156" t="str">
        <f>+VLOOKUP($L382,Data_Validation!$A:$D,1,0)</f>
        <v>6423</v>
      </c>
      <c r="U382" s="156" t="str">
        <f>+VLOOKUP($L382,Data_Validation!$A:$D,3,0)</f>
        <v>Service</v>
      </c>
      <c r="V382" s="156" t="str">
        <f>+VLOOKUP($L382,Data_Validation!$A:$D,4,0)</f>
        <v>Salaires commis</v>
      </c>
      <c r="W382" s="156" t="str">
        <f>+VLOOKUP($L382,Data_Validation!$A:$E,5,0)</f>
        <v>$</v>
      </c>
      <c r="X382" s="156">
        <f>+VLOOKUP($L382,Data_Validation!$A:$F,6,0)</f>
        <v>0</v>
      </c>
    </row>
    <row r="383" spans="1:24" ht="15.75" hidden="1" customHeight="1">
      <c r="A383" s="1012" t="s">
        <v>1249</v>
      </c>
      <c r="B383" s="1012" t="s">
        <v>2805</v>
      </c>
      <c r="C383" s="1014">
        <v>56995.519999999997</v>
      </c>
      <c r="D383" s="1014">
        <v>8884.68</v>
      </c>
      <c r="E383" s="1014">
        <v>65880.2</v>
      </c>
      <c r="F383" s="1012" t="s">
        <v>401</v>
      </c>
      <c r="G383" s="1012" t="s">
        <v>2735</v>
      </c>
      <c r="H383" s="971"/>
      <c r="I383" s="974"/>
      <c r="J383" s="974"/>
      <c r="K383" s="974"/>
      <c r="L383" s="153" t="str">
        <f t="shared" si="18"/>
        <v>6424</v>
      </c>
      <c r="M383" s="154" t="str">
        <f t="shared" si="19"/>
        <v>SALAIRES &amp; RENUM. - AUTRES</v>
      </c>
      <c r="N383" s="155">
        <f>+IF(OR($Q383=Parametres!$G$2,$Q383=Parametres!$G$3),I383,C383)</f>
        <v>56995.519999999997</v>
      </c>
      <c r="O383" s="155">
        <f>+IF(OR($Q383=Parametres!$G$2,$Q383=Parametres!$G$3),J383,D383)</f>
        <v>8884.68</v>
      </c>
      <c r="P383" s="155">
        <f>+IF(OR($Q383=Parametres!$G$2,$Q383=Parametres!$G$3),K383,E383)</f>
        <v>65880.2</v>
      </c>
      <c r="Q383" s="154" t="str">
        <f t="shared" si="27"/>
        <v>7-Dépenses</v>
      </c>
      <c r="R383" s="153" t="str">
        <f t="shared" si="27"/>
        <v>6124</v>
      </c>
      <c r="S383" s="154">
        <f t="shared" si="27"/>
        <v>0</v>
      </c>
      <c r="T383" s="156" t="str">
        <f>+VLOOKUP($L383,Data_Validation!$A:$D,1,0)</f>
        <v>6424</v>
      </c>
      <c r="U383" s="156" t="str">
        <f>+VLOOKUP($L383,Data_Validation!$A:$D,3,0)</f>
        <v>Service</v>
      </c>
      <c r="V383" s="156" t="str">
        <f>+VLOOKUP($L383,Data_Validation!$A:$D,4,0)</f>
        <v>Salaires autres</v>
      </c>
      <c r="W383" s="156" t="str">
        <f>+VLOOKUP($L383,Data_Validation!$A:$E,5,0)</f>
        <v>$</v>
      </c>
      <c r="X383" s="156">
        <f>+VLOOKUP($L383,Data_Validation!$A:$F,6,0)</f>
        <v>0</v>
      </c>
    </row>
    <row r="384" spans="1:24" ht="15" hidden="1" customHeight="1">
      <c r="A384" s="1012" t="s">
        <v>1330</v>
      </c>
      <c r="B384" s="1012" t="s">
        <v>2810</v>
      </c>
      <c r="C384" s="1014">
        <v>129246.67</v>
      </c>
      <c r="D384" s="1014">
        <v>20101.86</v>
      </c>
      <c r="E384" s="1014">
        <v>149348.53</v>
      </c>
      <c r="F384" s="1012" t="s">
        <v>401</v>
      </c>
      <c r="G384" s="1012" t="s">
        <v>2721</v>
      </c>
      <c r="H384" s="971"/>
      <c r="I384" s="974"/>
      <c r="J384" s="974"/>
      <c r="K384" s="974"/>
      <c r="L384" s="153" t="str">
        <f t="shared" si="18"/>
        <v>6425</v>
      </c>
      <c r="M384" s="154" t="str">
        <f t="shared" si="19"/>
        <v>SALAIRE SPECIALISTES</v>
      </c>
      <c r="N384" s="155">
        <f>+IF(OR($Q384=Parametres!$G$2,$Q384=Parametres!$G$3),I384,C384)</f>
        <v>129246.67</v>
      </c>
      <c r="O384" s="155">
        <f>+IF(OR($Q384=Parametres!$G$2,$Q384=Parametres!$G$3),J384,D384)</f>
        <v>20101.86</v>
      </c>
      <c r="P384" s="155">
        <f>+IF(OR($Q384=Parametres!$G$2,$Q384=Parametres!$G$3),K384,E384)</f>
        <v>149348.53</v>
      </c>
      <c r="Q384" s="154" t="str">
        <f t="shared" si="27"/>
        <v>7-Dépenses</v>
      </c>
      <c r="R384" s="153" t="str">
        <f t="shared" si="27"/>
        <v>6125</v>
      </c>
      <c r="S384" s="154">
        <f t="shared" si="27"/>
        <v>0</v>
      </c>
      <c r="T384" s="156" t="str">
        <f>+VLOOKUP($L384,Data_Validation!$A:$D,1,0)</f>
        <v>6425</v>
      </c>
      <c r="U384" s="156" t="str">
        <f>+VLOOKUP($L384,Data_Validation!$A:$D,3,0)</f>
        <v>Service</v>
      </c>
      <c r="V384" s="156" t="str">
        <f>+VLOOKUP($L384,Data_Validation!$A:$D,4,0)</f>
        <v>Salaires spécialistes</v>
      </c>
      <c r="W384" s="156" t="str">
        <f>+VLOOKUP($L384,Data_Validation!$A:$E,5,0)</f>
        <v>$</v>
      </c>
      <c r="X384" s="156">
        <f>+VLOOKUP($L384,Data_Validation!$A:$F,6,0)</f>
        <v>0</v>
      </c>
    </row>
    <row r="385" spans="1:24" ht="15" hidden="1" customHeight="1">
      <c r="A385" s="1012" t="s">
        <v>1448</v>
      </c>
      <c r="B385" s="1012" t="s">
        <v>2793</v>
      </c>
      <c r="C385" s="1014">
        <v>91121.83</v>
      </c>
      <c r="D385" s="1014">
        <v>15906.05</v>
      </c>
      <c r="E385" s="1014">
        <v>107027.88</v>
      </c>
      <c r="F385" s="1012" t="s">
        <v>401</v>
      </c>
      <c r="G385" s="1012" t="s">
        <v>2641</v>
      </c>
      <c r="H385" s="971"/>
      <c r="I385" s="974"/>
      <c r="J385" s="974"/>
      <c r="K385" s="974"/>
      <c r="L385" s="153" t="str">
        <f t="shared" si="18"/>
        <v>6429</v>
      </c>
      <c r="M385" s="154" t="str">
        <f t="shared" si="19"/>
        <v>SAL.,VACANCE, &amp; SAL. JOURS FER</v>
      </c>
      <c r="N385" s="155">
        <f>+IF(OR($Q385=Parametres!$G$2,$Q385=Parametres!$G$3),I385,C385)</f>
        <v>91121.83</v>
      </c>
      <c r="O385" s="155">
        <f>+IF(OR($Q385=Parametres!$G$2,$Q385=Parametres!$G$3),J385,D385)</f>
        <v>15906.05</v>
      </c>
      <c r="P385" s="155">
        <f>+IF(OR($Q385=Parametres!$G$2,$Q385=Parametres!$G$3),K385,E385)</f>
        <v>107027.88</v>
      </c>
      <c r="Q385" s="154" t="str">
        <f t="shared" si="27"/>
        <v>7-Dépenses</v>
      </c>
      <c r="R385" s="153" t="str">
        <f t="shared" si="27"/>
        <v>6129</v>
      </c>
      <c r="S385" s="154">
        <f t="shared" si="27"/>
        <v>0</v>
      </c>
      <c r="T385" s="156" t="str">
        <f>+VLOOKUP($L385,Data_Validation!$A:$D,1,0)</f>
        <v>6429</v>
      </c>
      <c r="U385" s="156" t="str">
        <f>+VLOOKUP($L385,Data_Validation!$A:$D,3,0)</f>
        <v>Service</v>
      </c>
      <c r="V385" s="156" t="str">
        <f>+VLOOKUP($L385,Data_Validation!$A:$D,4,0)</f>
        <v>Salaires en absences</v>
      </c>
      <c r="W385" s="156" t="str">
        <f>+VLOOKUP($L385,Data_Validation!$A:$E,5,0)</f>
        <v>$</v>
      </c>
      <c r="X385" s="156">
        <f>+VLOOKUP($L385,Data_Validation!$A:$F,6,0)</f>
        <v>0</v>
      </c>
    </row>
    <row r="386" spans="1:24" ht="15" hidden="1" customHeight="1">
      <c r="A386" s="1012" t="s">
        <v>1252</v>
      </c>
      <c r="B386" s="1012" t="s">
        <v>2732</v>
      </c>
      <c r="C386" s="1014">
        <v>18612.45</v>
      </c>
      <c r="D386" s="1014">
        <v>3062.83</v>
      </c>
      <c r="E386" s="1014">
        <v>21675.279999999999</v>
      </c>
      <c r="F386" s="1012" t="s">
        <v>401</v>
      </c>
      <c r="G386" s="1012" t="s">
        <v>2586</v>
      </c>
      <c r="H386" s="971"/>
      <c r="I386" s="974"/>
      <c r="J386" s="974"/>
      <c r="K386" s="974"/>
      <c r="L386" s="153" t="str">
        <f t="shared" si="18"/>
        <v>6431</v>
      </c>
      <c r="M386" s="154" t="str">
        <f t="shared" si="19"/>
        <v>CSST</v>
      </c>
      <c r="N386" s="155">
        <f>+IF(OR($Q386=Parametres!$G$2,$Q386=Parametres!$G$3),I386,C386)</f>
        <v>18612.45</v>
      </c>
      <c r="O386" s="155">
        <f>+IF(OR($Q386=Parametres!$G$2,$Q386=Parametres!$G$3),J386,D386)</f>
        <v>3062.83</v>
      </c>
      <c r="P386" s="155">
        <f>+IF(OR($Q386=Parametres!$G$2,$Q386=Parametres!$G$3),K386,E386)</f>
        <v>21675.279999999999</v>
      </c>
      <c r="Q386" s="154" t="str">
        <f t="shared" ref="Q386:S401" si="28">+F386</f>
        <v>7-Dépenses</v>
      </c>
      <c r="R386" s="153" t="str">
        <f t="shared" si="28"/>
        <v>6131</v>
      </c>
      <c r="S386" s="154">
        <f t="shared" si="28"/>
        <v>0</v>
      </c>
      <c r="T386" s="156" t="str">
        <f>+VLOOKUP($L386,Data_Validation!$A:$D,1,0)</f>
        <v>6431</v>
      </c>
      <c r="U386" s="156" t="str">
        <f>+VLOOKUP($L386,Data_Validation!$A:$D,3,0)</f>
        <v>Service</v>
      </c>
      <c r="V386" s="156" t="str">
        <f>+VLOOKUP($L386,Data_Validation!$A:$D,4,0)</f>
        <v>Csst</v>
      </c>
      <c r="W386" s="156" t="str">
        <f>+VLOOKUP($L386,Data_Validation!$A:$E,5,0)</f>
        <v>$</v>
      </c>
      <c r="X386" s="156">
        <f>+VLOOKUP($L386,Data_Validation!$A:$F,6,0)</f>
        <v>0</v>
      </c>
    </row>
    <row r="387" spans="1:24" ht="15.75" hidden="1" customHeight="1">
      <c r="A387" s="1012" t="s">
        <v>1283</v>
      </c>
      <c r="B387" s="1012" t="s">
        <v>2779</v>
      </c>
      <c r="C387" s="1014">
        <v>74635</v>
      </c>
      <c r="D387" s="1014">
        <v>13130.72</v>
      </c>
      <c r="E387" s="1014">
        <v>87765.72</v>
      </c>
      <c r="F387" s="1012" t="s">
        <v>401</v>
      </c>
      <c r="G387" s="1012" t="s">
        <v>2685</v>
      </c>
      <c r="H387" s="971"/>
      <c r="I387" s="974"/>
      <c r="J387" s="974"/>
      <c r="K387" s="974"/>
      <c r="L387" s="153" t="str">
        <f t="shared" si="18"/>
        <v>6432</v>
      </c>
      <c r="M387" s="154" t="str">
        <f t="shared" si="19"/>
        <v>RRQ RAMQ AC</v>
      </c>
      <c r="N387" s="155">
        <f>+IF(OR($Q387=Parametres!$G$2,$Q387=Parametres!$G$3),I387,C387)</f>
        <v>74635</v>
      </c>
      <c r="O387" s="155">
        <f>+IF(OR($Q387=Parametres!$G$2,$Q387=Parametres!$G$3),J387,D387)</f>
        <v>13130.72</v>
      </c>
      <c r="P387" s="155">
        <f>+IF(OR($Q387=Parametres!$G$2,$Q387=Parametres!$G$3),K387,E387)</f>
        <v>87765.72</v>
      </c>
      <c r="Q387" s="154" t="str">
        <f t="shared" si="28"/>
        <v>7-Dépenses</v>
      </c>
      <c r="R387" s="153" t="str">
        <f t="shared" si="28"/>
        <v>6132</v>
      </c>
      <c r="S387" s="154">
        <f t="shared" si="28"/>
        <v>0</v>
      </c>
      <c r="T387" s="156" t="str">
        <f>+VLOOKUP($L387,Data_Validation!$A:$D,1,0)</f>
        <v>6432</v>
      </c>
      <c r="U387" s="156" t="str">
        <f>+VLOOKUP($L387,Data_Validation!$A:$D,3,0)</f>
        <v>Service</v>
      </c>
      <c r="V387" s="156" t="str">
        <f>+VLOOKUP($L387,Data_Validation!$A:$D,4,0)</f>
        <v>Déduction à la source</v>
      </c>
      <c r="W387" s="156" t="str">
        <f>+VLOOKUP($L387,Data_Validation!$A:$E,5,0)</f>
        <v>$</v>
      </c>
      <c r="X387" s="156">
        <f>+VLOOKUP($L387,Data_Validation!$A:$F,6,0)</f>
        <v>0</v>
      </c>
    </row>
    <row r="388" spans="1:24" ht="15" hidden="1" customHeight="1">
      <c r="A388" s="1012" t="s">
        <v>1305</v>
      </c>
      <c r="B388" s="1012" t="s">
        <v>2742</v>
      </c>
      <c r="C388" s="1014">
        <v>51429.94</v>
      </c>
      <c r="D388" s="1014">
        <v>8918.69</v>
      </c>
      <c r="E388" s="1014">
        <v>60348.63</v>
      </c>
      <c r="F388" s="1012" t="s">
        <v>401</v>
      </c>
      <c r="G388" s="1012" t="s">
        <v>2694</v>
      </c>
      <c r="H388" s="971"/>
      <c r="I388" s="974"/>
      <c r="J388" s="974"/>
      <c r="K388" s="974"/>
      <c r="L388" s="153" t="str">
        <f t="shared" si="18"/>
        <v>6439</v>
      </c>
      <c r="M388" s="154" t="str">
        <f t="shared" si="19"/>
        <v>ASSURANCE GROUPE</v>
      </c>
      <c r="N388" s="155">
        <f>+IF(OR($Q388=Parametres!$G$2,$Q388=Parametres!$G$3),I388,C388)</f>
        <v>51429.94</v>
      </c>
      <c r="O388" s="155">
        <f>+IF(OR($Q388=Parametres!$G$2,$Q388=Parametres!$G$3),J388,D388)</f>
        <v>8918.69</v>
      </c>
      <c r="P388" s="155">
        <f>+IF(OR($Q388=Parametres!$G$2,$Q388=Parametres!$G$3),K388,E388)</f>
        <v>60348.63</v>
      </c>
      <c r="Q388" s="154" t="str">
        <f t="shared" si="28"/>
        <v>7-Dépenses</v>
      </c>
      <c r="R388" s="153" t="str">
        <f t="shared" si="28"/>
        <v>6139</v>
      </c>
      <c r="S388" s="154">
        <f t="shared" si="28"/>
        <v>0</v>
      </c>
      <c r="T388" s="156" t="str">
        <f>+VLOOKUP($L388,Data_Validation!$A:$D,1,0)</f>
        <v>6439</v>
      </c>
      <c r="U388" s="156" t="str">
        <f>+VLOOKUP($L388,Data_Validation!$A:$D,3,0)</f>
        <v>Service</v>
      </c>
      <c r="V388" s="156" t="str">
        <f>+VLOOKUP($L388,Data_Validation!$A:$D,4,0)</f>
        <v>Bénéfices marginaux</v>
      </c>
      <c r="W388" s="156" t="str">
        <f>+VLOOKUP($L388,Data_Validation!$A:$E,5,0)</f>
        <v>$</v>
      </c>
      <c r="X388" s="156">
        <f>+VLOOKUP($L388,Data_Validation!$A:$F,6,0)</f>
        <v>0</v>
      </c>
    </row>
    <row r="389" spans="1:24" ht="15" hidden="1" customHeight="1">
      <c r="A389" s="1012" t="s">
        <v>1157</v>
      </c>
      <c r="B389" s="1012" t="s">
        <v>2655</v>
      </c>
      <c r="C389" s="1014">
        <v>3929.59</v>
      </c>
      <c r="D389" s="1014">
        <v>440</v>
      </c>
      <c r="E389" s="1014">
        <v>4369.59</v>
      </c>
      <c r="F389" s="1012" t="s">
        <v>401</v>
      </c>
      <c r="G389" s="1012" t="s">
        <v>2563</v>
      </c>
      <c r="H389" s="971"/>
      <c r="I389" s="974"/>
      <c r="J389" s="974"/>
      <c r="K389" s="974"/>
      <c r="L389" s="153" t="str">
        <f t="shared" si="18"/>
        <v>6442</v>
      </c>
      <c r="M389" s="154" t="str">
        <f t="shared" si="19"/>
        <v>FOURNITURES &amp; PETITS OUTILS</v>
      </c>
      <c r="N389" s="155">
        <f>+IF(OR($Q389=Parametres!$G$2,$Q389=Parametres!$G$3),I389,C389)</f>
        <v>3929.59</v>
      </c>
      <c r="O389" s="155">
        <f>+IF(OR($Q389=Parametres!$G$2,$Q389=Parametres!$G$3),J389,D389)</f>
        <v>440</v>
      </c>
      <c r="P389" s="155">
        <f>+IF(OR($Q389=Parametres!$G$2,$Q389=Parametres!$G$3),K389,E389)</f>
        <v>4369.59</v>
      </c>
      <c r="Q389" s="154" t="str">
        <f t="shared" si="28"/>
        <v>7-Dépenses</v>
      </c>
      <c r="R389" s="153" t="str">
        <f t="shared" si="28"/>
        <v>6142</v>
      </c>
      <c r="S389" s="154">
        <f t="shared" si="28"/>
        <v>0</v>
      </c>
      <c r="T389" s="156" t="str">
        <f>+VLOOKUP($L389,Data_Validation!$A:$D,1,0)</f>
        <v>6442</v>
      </c>
      <c r="U389" s="156" t="str">
        <f>+VLOOKUP($L389,Data_Validation!$A:$D,3,0)</f>
        <v>Service</v>
      </c>
      <c r="V389" s="156" t="str">
        <f>+VLOOKUP($L389,Data_Validation!$A:$D,4,0)</f>
        <v>Fournitures autres</v>
      </c>
      <c r="W389" s="156" t="str">
        <f>+VLOOKUP($L389,Data_Validation!$A:$E,5,0)</f>
        <v>$</v>
      </c>
      <c r="X389" s="156">
        <f>+VLOOKUP($L389,Data_Validation!$A:$F,6,0)</f>
        <v>0</v>
      </c>
    </row>
    <row r="390" spans="1:24" ht="15" hidden="1" customHeight="1">
      <c r="A390" s="1012" t="s">
        <v>932</v>
      </c>
      <c r="B390" s="1012" t="s">
        <v>2158</v>
      </c>
      <c r="C390" s="1014">
        <v>7800</v>
      </c>
      <c r="D390" s="1014">
        <v>1300</v>
      </c>
      <c r="E390" s="1014">
        <v>9100</v>
      </c>
      <c r="F390" s="1012" t="s">
        <v>401</v>
      </c>
      <c r="G390" s="1012" t="s">
        <v>2159</v>
      </c>
      <c r="H390" s="971"/>
      <c r="I390" s="974"/>
      <c r="J390" s="974"/>
      <c r="K390" s="974"/>
      <c r="L390" s="153" t="str">
        <f t="shared" si="18"/>
        <v>6443</v>
      </c>
      <c r="M390" s="154" t="str">
        <f t="shared" si="19"/>
        <v>UNIFORMES &amp; LESSIVE</v>
      </c>
      <c r="N390" s="155">
        <f>+IF(OR($Q390=Parametres!$G$2,$Q390=Parametres!$G$3),I390,C390)</f>
        <v>7800</v>
      </c>
      <c r="O390" s="155">
        <f>+IF(OR($Q390=Parametres!$G$2,$Q390=Parametres!$G$3),J390,D390)</f>
        <v>1300</v>
      </c>
      <c r="P390" s="155">
        <f>+IF(OR($Q390=Parametres!$G$2,$Q390=Parametres!$G$3),K390,E390)</f>
        <v>9100</v>
      </c>
      <c r="Q390" s="154" t="str">
        <f t="shared" si="28"/>
        <v>7-Dépenses</v>
      </c>
      <c r="R390" s="153" t="str">
        <f t="shared" si="28"/>
        <v>6143</v>
      </c>
      <c r="S390" s="154">
        <f t="shared" si="28"/>
        <v>0</v>
      </c>
      <c r="T390" s="156" t="str">
        <f>+VLOOKUP($L390,Data_Validation!$A:$D,1,0)</f>
        <v>6443</v>
      </c>
      <c r="U390" s="156" t="str">
        <f>+VLOOKUP($L390,Data_Validation!$A:$D,3,0)</f>
        <v>Service</v>
      </c>
      <c r="V390" s="156" t="str">
        <f>+VLOOKUP($L390,Data_Validation!$A:$D,4,0)</f>
        <v>Uniformes</v>
      </c>
      <c r="W390" s="156" t="str">
        <f>+VLOOKUP($L390,Data_Validation!$A:$E,5,0)</f>
        <v>$</v>
      </c>
      <c r="X390" s="156">
        <f>+VLOOKUP($L390,Data_Validation!$A:$F,6,0)</f>
        <v>0</v>
      </c>
    </row>
    <row r="391" spans="1:24" ht="15.75" hidden="1" customHeight="1">
      <c r="A391" s="1012" t="s">
        <v>934</v>
      </c>
      <c r="B391" s="1012" t="s">
        <v>2572</v>
      </c>
      <c r="C391" s="1014">
        <v>16720.02</v>
      </c>
      <c r="D391" s="1014">
        <v>2786.67</v>
      </c>
      <c r="E391" s="1014">
        <v>19506.689999999999</v>
      </c>
      <c r="F391" s="1012" t="s">
        <v>401</v>
      </c>
      <c r="G391" s="1012" t="s">
        <v>2561</v>
      </c>
      <c r="H391" s="971"/>
      <c r="I391" s="974"/>
      <c r="J391" s="974"/>
      <c r="K391" s="974"/>
      <c r="L391" s="153" t="str">
        <f t="shared" si="18"/>
        <v>6444</v>
      </c>
      <c r="M391" s="154" t="str">
        <f t="shared" si="19"/>
        <v>FORMATION</v>
      </c>
      <c r="N391" s="155">
        <f>+IF(OR($Q391=Parametres!$G$2,$Q391=Parametres!$G$3),I391,C391)</f>
        <v>16720.02</v>
      </c>
      <c r="O391" s="155">
        <f>+IF(OR($Q391=Parametres!$G$2,$Q391=Parametres!$G$3),J391,D391)</f>
        <v>2786.67</v>
      </c>
      <c r="P391" s="155">
        <f>+IF(OR($Q391=Parametres!$G$2,$Q391=Parametres!$G$3),K391,E391)</f>
        <v>19506.689999999999</v>
      </c>
      <c r="Q391" s="154" t="str">
        <f t="shared" si="28"/>
        <v>7-Dépenses</v>
      </c>
      <c r="R391" s="153" t="str">
        <f t="shared" si="28"/>
        <v>6144</v>
      </c>
      <c r="S391" s="154">
        <f t="shared" si="28"/>
        <v>0</v>
      </c>
      <c r="T391" s="156" t="str">
        <f>+VLOOKUP($L391,Data_Validation!$A:$D,1,0)</f>
        <v>6444</v>
      </c>
      <c r="U391" s="156" t="str">
        <f>+VLOOKUP($L391,Data_Validation!$A:$D,3,0)</f>
        <v>Service</v>
      </c>
      <c r="V391" s="156" t="str">
        <f>+VLOOKUP($L391,Data_Validation!$A:$D,4,0)</f>
        <v>Formation</v>
      </c>
      <c r="W391" s="156" t="str">
        <f>+VLOOKUP($L391,Data_Validation!$A:$E,5,0)</f>
        <v>$</v>
      </c>
      <c r="X391" s="156">
        <f>+VLOOKUP($L391,Data_Validation!$A:$F,6,0)</f>
        <v>0</v>
      </c>
    </row>
    <row r="392" spans="1:24" ht="15" hidden="1" customHeight="1">
      <c r="A392" s="1012" t="s">
        <v>1527</v>
      </c>
      <c r="B392" s="1012" t="s">
        <v>2801</v>
      </c>
      <c r="C392" s="1014">
        <v>78297.09</v>
      </c>
      <c r="D392" s="1014">
        <v>15377.04</v>
      </c>
      <c r="E392" s="1014">
        <v>93674.13</v>
      </c>
      <c r="F392" s="1012" t="s">
        <v>401</v>
      </c>
      <c r="G392" s="1012" t="s">
        <v>2632</v>
      </c>
      <c r="H392" s="971"/>
      <c r="I392" s="974"/>
      <c r="J392" s="974"/>
      <c r="K392" s="974"/>
      <c r="L392" s="153" t="str">
        <f t="shared" si="18"/>
        <v>6445</v>
      </c>
      <c r="M392" s="154" t="str">
        <f t="shared" si="19"/>
        <v>LOCATION COURTOISIE</v>
      </c>
      <c r="N392" s="155">
        <f>+IF(OR($Q392=Parametres!$G$2,$Q392=Parametres!$G$3),I392,C392)</f>
        <v>78297.09</v>
      </c>
      <c r="O392" s="155">
        <f>+IF(OR($Q392=Parametres!$G$2,$Q392=Parametres!$G$3),J392,D392)</f>
        <v>15377.04</v>
      </c>
      <c r="P392" s="155">
        <f>+IF(OR($Q392=Parametres!$G$2,$Q392=Parametres!$G$3),K392,E392)</f>
        <v>93674.13</v>
      </c>
      <c r="Q392" s="154" t="str">
        <f t="shared" si="28"/>
        <v>7-Dépenses</v>
      </c>
      <c r="R392" s="153" t="str">
        <f t="shared" si="28"/>
        <v>6145</v>
      </c>
      <c r="S392" s="154">
        <f t="shared" si="28"/>
        <v>0</v>
      </c>
      <c r="T392" s="156" t="str">
        <f>+VLOOKUP($L392,Data_Validation!$A:$D,1,0)</f>
        <v>6445</v>
      </c>
      <c r="U392" s="156" t="str">
        <f>+VLOOKUP($L392,Data_Validation!$A:$D,3,0)</f>
        <v>Service</v>
      </c>
      <c r="V392" s="156" t="str">
        <f>+VLOOKUP($L392,Data_Validation!$A:$D,4,0)</f>
        <v>Frais véhicules de cie</v>
      </c>
      <c r="W392" s="156" t="str">
        <f>+VLOOKUP($L392,Data_Validation!$A:$E,5,0)</f>
        <v>$</v>
      </c>
      <c r="X392" s="156">
        <f>+VLOOKUP($L392,Data_Validation!$A:$F,6,0)</f>
        <v>0</v>
      </c>
    </row>
    <row r="393" spans="1:24" ht="15" hidden="1" customHeight="1">
      <c r="A393" s="1012" t="s">
        <v>1180</v>
      </c>
      <c r="B393" s="1012" t="s">
        <v>2609</v>
      </c>
      <c r="C393" s="1014">
        <v>750.09</v>
      </c>
      <c r="D393" s="1014">
        <v>97.86</v>
      </c>
      <c r="E393" s="1014">
        <v>847.95</v>
      </c>
      <c r="F393" s="1012" t="s">
        <v>401</v>
      </c>
      <c r="G393" s="1012" t="s">
        <v>2581</v>
      </c>
      <c r="H393" s="971"/>
      <c r="I393" s="974"/>
      <c r="J393" s="974"/>
      <c r="K393" s="974"/>
      <c r="L393" s="153" t="str">
        <f t="shared" si="18"/>
        <v>6447</v>
      </c>
      <c r="M393" s="154" t="str">
        <f t="shared" si="19"/>
        <v>FRET/EXPRESS/TRANS. PAR CAMION</v>
      </c>
      <c r="N393" s="155">
        <f>+IF(OR($Q393=Parametres!$G$2,$Q393=Parametres!$G$3),I393,C393)</f>
        <v>750.09</v>
      </c>
      <c r="O393" s="155">
        <f>+IF(OR($Q393=Parametres!$G$2,$Q393=Parametres!$G$3),J393,D393)</f>
        <v>97.86</v>
      </c>
      <c r="P393" s="155">
        <f>+IF(OR($Q393=Parametres!$G$2,$Q393=Parametres!$G$3),K393,E393)</f>
        <v>847.95</v>
      </c>
      <c r="Q393" s="154" t="str">
        <f t="shared" si="28"/>
        <v>7-Dépenses</v>
      </c>
      <c r="R393" s="153" t="str">
        <f t="shared" si="28"/>
        <v>6147</v>
      </c>
      <c r="S393" s="154">
        <f t="shared" si="28"/>
        <v>0</v>
      </c>
      <c r="T393" s="156" t="str">
        <f>+VLOOKUP($L393,Data_Validation!$A:$D,1,0)</f>
        <v>6447</v>
      </c>
      <c r="U393" s="156" t="str">
        <f>+VLOOKUP($L393,Data_Validation!$A:$D,3,0)</f>
        <v>Service</v>
      </c>
      <c r="V393" s="156" t="str">
        <f>+VLOOKUP($L393,Data_Validation!$A:$D,4,0)</f>
        <v>Frais postaux</v>
      </c>
      <c r="W393" s="156" t="str">
        <f>+VLOOKUP($L393,Data_Validation!$A:$E,5,0)</f>
        <v>$</v>
      </c>
      <c r="X393" s="156">
        <f>+VLOOKUP($L393,Data_Validation!$A:$F,6,0)</f>
        <v>0</v>
      </c>
    </row>
    <row r="394" spans="1:24" ht="15" hidden="1" customHeight="1">
      <c r="A394" s="1012" t="s">
        <v>1286</v>
      </c>
      <c r="B394" s="1012" t="s">
        <v>2745</v>
      </c>
      <c r="C394" s="1014">
        <v>23530.6</v>
      </c>
      <c r="D394" s="1014">
        <v>3856.91</v>
      </c>
      <c r="E394" s="1014">
        <v>27387.51</v>
      </c>
      <c r="F394" s="1012" t="s">
        <v>401</v>
      </c>
      <c r="G394" s="1012" t="s">
        <v>2702</v>
      </c>
      <c r="H394" s="971"/>
      <c r="I394" s="974"/>
      <c r="J394" s="974"/>
      <c r="K394" s="974"/>
      <c r="L394" s="153" t="str">
        <f t="shared" si="18"/>
        <v>6451</v>
      </c>
      <c r="M394" s="154" t="str">
        <f t="shared" si="19"/>
        <v>DEP. DU TRAITEMENT DES DONNEES</v>
      </c>
      <c r="N394" s="155">
        <f>+IF(OR($Q394=Parametres!$G$2,$Q394=Parametres!$G$3),I394,C394)</f>
        <v>23530.6</v>
      </c>
      <c r="O394" s="155">
        <f>+IF(OR($Q394=Parametres!$G$2,$Q394=Parametres!$G$3),J394,D394)</f>
        <v>3856.91</v>
      </c>
      <c r="P394" s="155">
        <f>+IF(OR($Q394=Parametres!$G$2,$Q394=Parametres!$G$3),K394,E394)</f>
        <v>27387.51</v>
      </c>
      <c r="Q394" s="154" t="str">
        <f t="shared" si="28"/>
        <v>7-Dépenses</v>
      </c>
      <c r="R394" s="153" t="str">
        <f t="shared" si="28"/>
        <v>6151</v>
      </c>
      <c r="S394" s="154">
        <f t="shared" si="28"/>
        <v>0</v>
      </c>
      <c r="T394" s="156" t="str">
        <f>+VLOOKUP($L394,Data_Validation!$A:$D,1,0)</f>
        <v>6451</v>
      </c>
      <c r="U394" s="156" t="str">
        <f>+VLOOKUP($L394,Data_Validation!$A:$D,3,0)</f>
        <v>Service</v>
      </c>
      <c r="V394" s="156" t="str">
        <f>+VLOOKUP($L394,Data_Validation!$A:$D,4,0)</f>
        <v>Informatique</v>
      </c>
      <c r="W394" s="156" t="str">
        <f>+VLOOKUP($L394,Data_Validation!$A:$E,5,0)</f>
        <v>$</v>
      </c>
      <c r="X394" s="156">
        <f>+VLOOKUP($L394,Data_Validation!$A:$F,6,0)</f>
        <v>0</v>
      </c>
    </row>
    <row r="395" spans="1:24" ht="15.75" hidden="1" customHeight="1">
      <c r="A395" s="1012" t="s">
        <v>1206</v>
      </c>
      <c r="B395" s="1012" t="s">
        <v>2644</v>
      </c>
      <c r="C395" s="1014">
        <v>2664</v>
      </c>
      <c r="D395" s="1014">
        <v>444</v>
      </c>
      <c r="E395" s="1014">
        <v>3108</v>
      </c>
      <c r="F395" s="1012" t="s">
        <v>401</v>
      </c>
      <c r="G395" s="1012" t="s">
        <v>2588</v>
      </c>
      <c r="H395" s="971"/>
      <c r="I395" s="974"/>
      <c r="J395" s="974"/>
      <c r="K395" s="974"/>
      <c r="L395" s="153" t="str">
        <f t="shared" si="18"/>
        <v>6452</v>
      </c>
      <c r="M395" s="154" t="str">
        <f t="shared" si="19"/>
        <v>PAPETERIE</v>
      </c>
      <c r="N395" s="155">
        <f>+IF(OR($Q395=Parametres!$G$2,$Q395=Parametres!$G$3),I395,C395)</f>
        <v>2664</v>
      </c>
      <c r="O395" s="155">
        <f>+IF(OR($Q395=Parametres!$G$2,$Q395=Parametres!$G$3),J395,D395)</f>
        <v>444</v>
      </c>
      <c r="P395" s="155">
        <f>+IF(OR($Q395=Parametres!$G$2,$Q395=Parametres!$G$3),K395,E395)</f>
        <v>3108</v>
      </c>
      <c r="Q395" s="154" t="str">
        <f t="shared" si="28"/>
        <v>7-Dépenses</v>
      </c>
      <c r="R395" s="153" t="str">
        <f t="shared" si="28"/>
        <v>6152</v>
      </c>
      <c r="S395" s="154">
        <f t="shared" si="28"/>
        <v>0</v>
      </c>
      <c r="T395" s="156" t="str">
        <f>+VLOOKUP($L395,Data_Validation!$A:$D,1,0)</f>
        <v>6452</v>
      </c>
      <c r="U395" s="156" t="str">
        <f>+VLOOKUP($L395,Data_Validation!$A:$D,3,0)</f>
        <v>Service</v>
      </c>
      <c r="V395" s="156" t="str">
        <f>+VLOOKUP($L395,Data_Validation!$A:$D,4,0)</f>
        <v>Papeterie</v>
      </c>
      <c r="W395" s="156" t="str">
        <f>+VLOOKUP($L395,Data_Validation!$A:$E,5,0)</f>
        <v>$</v>
      </c>
      <c r="X395" s="156">
        <f>+VLOOKUP($L395,Data_Validation!$A:$F,6,0)</f>
        <v>0</v>
      </c>
    </row>
    <row r="396" spans="1:24" ht="15" hidden="1" customHeight="1">
      <c r="A396" s="1012" t="s">
        <v>1154</v>
      </c>
      <c r="B396" s="1012" t="s">
        <v>2645</v>
      </c>
      <c r="C396" s="1014">
        <v>3119.7</v>
      </c>
      <c r="D396" s="1014">
        <v>492.41</v>
      </c>
      <c r="E396" s="1014">
        <v>3612.11</v>
      </c>
      <c r="F396" s="1012" t="s">
        <v>401</v>
      </c>
      <c r="G396" s="1012" t="s">
        <v>2592</v>
      </c>
      <c r="H396" s="971"/>
      <c r="I396" s="974"/>
      <c r="J396" s="974"/>
      <c r="K396" s="974"/>
      <c r="L396" s="153" t="str">
        <f t="shared" si="18"/>
        <v>6453</v>
      </c>
      <c r="M396" s="154" t="str">
        <f t="shared" si="19"/>
        <v>TELEPHONE ET TELEX</v>
      </c>
      <c r="N396" s="155">
        <f>+IF(OR($Q396=Parametres!$G$2,$Q396=Parametres!$G$3),I396,C396)</f>
        <v>3119.7</v>
      </c>
      <c r="O396" s="155">
        <f>+IF(OR($Q396=Parametres!$G$2,$Q396=Parametres!$G$3),J396,D396)</f>
        <v>492.41</v>
      </c>
      <c r="P396" s="155">
        <f>+IF(OR($Q396=Parametres!$G$2,$Q396=Parametres!$G$3),K396,E396)</f>
        <v>3612.11</v>
      </c>
      <c r="Q396" s="154" t="str">
        <f t="shared" si="28"/>
        <v>7-Dépenses</v>
      </c>
      <c r="R396" s="153" t="str">
        <f t="shared" si="28"/>
        <v>6153</v>
      </c>
      <c r="S396" s="154">
        <f t="shared" si="28"/>
        <v>0</v>
      </c>
      <c r="T396" s="156" t="str">
        <f>+VLOOKUP($L396,Data_Validation!$A:$D,1,0)</f>
        <v>6453</v>
      </c>
      <c r="U396" s="156" t="str">
        <f>+VLOOKUP($L396,Data_Validation!$A:$D,3,0)</f>
        <v>Service</v>
      </c>
      <c r="V396" s="156" t="str">
        <f>+VLOOKUP($L396,Data_Validation!$A:$D,4,0)</f>
        <v>Téléphone</v>
      </c>
      <c r="W396" s="156" t="str">
        <f>+VLOOKUP($L396,Data_Validation!$A:$E,5,0)</f>
        <v>$</v>
      </c>
      <c r="X396" s="156">
        <f>+VLOOKUP($L396,Data_Validation!$A:$F,6,0)</f>
        <v>0</v>
      </c>
    </row>
    <row r="397" spans="1:24" ht="15" hidden="1" customHeight="1">
      <c r="A397" s="1012" t="s">
        <v>1237</v>
      </c>
      <c r="B397" s="1012" t="s">
        <v>2700</v>
      </c>
      <c r="C397" s="1014">
        <v>7606.34</v>
      </c>
      <c r="D397" s="1014">
        <v>1224</v>
      </c>
      <c r="E397" s="1014">
        <v>8830.34</v>
      </c>
      <c r="F397" s="1012" t="s">
        <v>401</v>
      </c>
      <c r="G397" s="1012" t="s">
        <v>2637</v>
      </c>
      <c r="H397" s="971"/>
      <c r="I397" s="974"/>
      <c r="J397" s="974"/>
      <c r="K397" s="974"/>
      <c r="L397" s="153" t="str">
        <f t="shared" si="18"/>
        <v>6455</v>
      </c>
      <c r="M397" s="154" t="str">
        <f t="shared" si="19"/>
        <v>DEPENSES DIVERS</v>
      </c>
      <c r="N397" s="155">
        <f>+IF(OR($Q397=Parametres!$G$2,$Q397=Parametres!$G$3),I397,C397)</f>
        <v>7606.34</v>
      </c>
      <c r="O397" s="155">
        <f>+IF(OR($Q397=Parametres!$G$2,$Q397=Parametres!$G$3),J397,D397)</f>
        <v>1224</v>
      </c>
      <c r="P397" s="155">
        <f>+IF(OR($Q397=Parametres!$G$2,$Q397=Parametres!$G$3),K397,E397)</f>
        <v>8830.34</v>
      </c>
      <c r="Q397" s="154" t="str">
        <f t="shared" si="28"/>
        <v>7-Dépenses</v>
      </c>
      <c r="R397" s="153" t="str">
        <f t="shared" si="28"/>
        <v>6155</v>
      </c>
      <c r="S397" s="154">
        <f t="shared" si="28"/>
        <v>0</v>
      </c>
      <c r="T397" s="156" t="str">
        <f>+VLOOKUP($L397,Data_Validation!$A:$D,1,0)</f>
        <v>6455</v>
      </c>
      <c r="U397" s="156" t="str">
        <f>+VLOOKUP($L397,Data_Validation!$A:$D,3,0)</f>
        <v>Service</v>
      </c>
      <c r="V397" s="156" t="str">
        <f>+VLOOKUP($L397,Data_Validation!$A:$D,4,0)</f>
        <v>Divers</v>
      </c>
      <c r="W397" s="156" t="str">
        <f>+VLOOKUP($L397,Data_Validation!$A:$E,5,0)</f>
        <v>$</v>
      </c>
      <c r="X397" s="156">
        <f>+VLOOKUP($L397,Data_Validation!$A:$F,6,0)</f>
        <v>0</v>
      </c>
    </row>
    <row r="398" spans="1:24" ht="15" hidden="1" customHeight="1">
      <c r="A398" s="1012" t="s">
        <v>1292</v>
      </c>
      <c r="B398" s="1012" t="s">
        <v>2656</v>
      </c>
      <c r="C398" s="1014">
        <v>8750.8799999999992</v>
      </c>
      <c r="D398" s="1014">
        <v>1458.48</v>
      </c>
      <c r="E398" s="1014">
        <v>10209.36</v>
      </c>
      <c r="F398" s="1012" t="s">
        <v>401</v>
      </c>
      <c r="G398" s="1012" t="s">
        <v>2470</v>
      </c>
      <c r="H398" s="971"/>
      <c r="I398" s="974"/>
      <c r="J398" s="974"/>
      <c r="K398" s="974"/>
      <c r="L398" s="153" t="str">
        <f t="shared" si="18"/>
        <v>6456</v>
      </c>
      <c r="M398" s="154" t="str">
        <f t="shared" si="19"/>
        <v>FRAIS REPRESENTATION - SERVICE</v>
      </c>
      <c r="N398" s="155">
        <f>+IF(OR($Q398=Parametres!$G$2,$Q398=Parametres!$G$3),I398,C398)</f>
        <v>8750.8799999999992</v>
      </c>
      <c r="O398" s="155">
        <f>+IF(OR($Q398=Parametres!$G$2,$Q398=Parametres!$G$3),J398,D398)</f>
        <v>1458.48</v>
      </c>
      <c r="P398" s="155">
        <f>+IF(OR($Q398=Parametres!$G$2,$Q398=Parametres!$G$3),K398,E398)</f>
        <v>10209.36</v>
      </c>
      <c r="Q398" s="154" t="str">
        <f t="shared" si="28"/>
        <v>7-Dépenses</v>
      </c>
      <c r="R398" s="153" t="str">
        <f t="shared" si="28"/>
        <v>6156</v>
      </c>
      <c r="S398" s="154">
        <f t="shared" si="28"/>
        <v>0</v>
      </c>
      <c r="T398" s="156" t="str">
        <f>+VLOOKUP($L398,Data_Validation!$A:$D,1,0)</f>
        <v>6456</v>
      </c>
      <c r="U398" s="156" t="str">
        <f>+VLOOKUP($L398,Data_Validation!$A:$D,3,0)</f>
        <v>Service</v>
      </c>
      <c r="V398" s="156" t="str">
        <f>+VLOOKUP($L398,Data_Validation!$A:$D,4,0)</f>
        <v>Frais de déplacement</v>
      </c>
      <c r="W398" s="156" t="str">
        <f>+VLOOKUP($L398,Data_Validation!$A:$E,5,0)</f>
        <v>$</v>
      </c>
      <c r="X398" s="156">
        <f>+VLOOKUP($L398,Data_Validation!$A:$F,6,0)</f>
        <v>0</v>
      </c>
    </row>
    <row r="399" spans="1:24" ht="15.75" hidden="1" customHeight="1">
      <c r="A399" s="1012" t="s">
        <v>1308</v>
      </c>
      <c r="B399" s="1012" t="s">
        <v>2736</v>
      </c>
      <c r="C399" s="1014">
        <v>64196.88</v>
      </c>
      <c r="D399" s="1014">
        <v>12663.96</v>
      </c>
      <c r="E399" s="1014">
        <v>76860.84</v>
      </c>
      <c r="F399" s="1012" t="s">
        <v>401</v>
      </c>
      <c r="G399" s="1012" t="s">
        <v>2662</v>
      </c>
      <c r="H399" s="971"/>
      <c r="I399" s="974"/>
      <c r="J399" s="974"/>
      <c r="K399" s="974"/>
      <c r="L399" s="153" t="str">
        <f t="shared" si="18"/>
        <v>6459</v>
      </c>
      <c r="M399" s="154" t="str">
        <f t="shared" si="19"/>
        <v>SERVICE EXTERIEUR</v>
      </c>
      <c r="N399" s="155">
        <f>+IF(OR($Q399=Parametres!$G$2,$Q399=Parametres!$G$3),I399,C399)</f>
        <v>64196.88</v>
      </c>
      <c r="O399" s="155">
        <f>+IF(OR($Q399=Parametres!$G$2,$Q399=Parametres!$G$3),J399,D399)</f>
        <v>12663.96</v>
      </c>
      <c r="P399" s="155">
        <f>+IF(OR($Q399=Parametres!$G$2,$Q399=Parametres!$G$3),K399,E399)</f>
        <v>76860.84</v>
      </c>
      <c r="Q399" s="154" t="str">
        <f t="shared" si="28"/>
        <v>7-Dépenses</v>
      </c>
      <c r="R399" s="153" t="str">
        <f t="shared" si="28"/>
        <v>6159</v>
      </c>
      <c r="S399" s="154">
        <f t="shared" si="28"/>
        <v>0</v>
      </c>
      <c r="T399" s="156" t="str">
        <f>+VLOOKUP($L399,Data_Validation!$A:$D,1,0)</f>
        <v>6459</v>
      </c>
      <c r="U399" s="156" t="str">
        <f>+VLOOKUP($L399,Data_Validation!$A:$D,3,0)</f>
        <v>Service</v>
      </c>
      <c r="V399" s="156" t="str">
        <f>+VLOOKUP($L399,Data_Validation!$A:$D,4,0)</f>
        <v>Services extérieurs</v>
      </c>
      <c r="W399" s="156" t="str">
        <f>+VLOOKUP($L399,Data_Validation!$A:$E,5,0)</f>
        <v>$</v>
      </c>
      <c r="X399" s="156">
        <f>+VLOOKUP($L399,Data_Validation!$A:$F,6,0)</f>
        <v>0</v>
      </c>
    </row>
    <row r="400" spans="1:24" ht="15" hidden="1" customHeight="1">
      <c r="A400" s="1012" t="s">
        <v>1333</v>
      </c>
      <c r="B400" s="1012" t="s">
        <v>2716</v>
      </c>
      <c r="C400" s="1014">
        <v>12960</v>
      </c>
      <c r="D400" s="1014">
        <v>2222.88</v>
      </c>
      <c r="E400" s="1014">
        <v>15182.88</v>
      </c>
      <c r="F400" s="1012" t="s">
        <v>401</v>
      </c>
      <c r="G400" s="1012" t="s">
        <v>2653</v>
      </c>
      <c r="H400" s="971"/>
      <c r="I400" s="974"/>
      <c r="J400" s="974"/>
      <c r="K400" s="974"/>
      <c r="L400" s="153" t="str">
        <f t="shared" si="18"/>
        <v>6461</v>
      </c>
      <c r="M400" s="154" t="str">
        <f t="shared" si="19"/>
        <v>DEPRECIATION EQUIP. &amp; FIXTURES</v>
      </c>
      <c r="N400" s="155">
        <f>+IF(OR($Q400=Parametres!$G$2,$Q400=Parametres!$G$3),I400,C400)</f>
        <v>12960</v>
      </c>
      <c r="O400" s="155">
        <f>+IF(OR($Q400=Parametres!$G$2,$Q400=Parametres!$G$3),J400,D400)</f>
        <v>2222.88</v>
      </c>
      <c r="P400" s="155">
        <f>+IF(OR($Q400=Parametres!$G$2,$Q400=Parametres!$G$3),K400,E400)</f>
        <v>15182.88</v>
      </c>
      <c r="Q400" s="154" t="str">
        <f t="shared" si="28"/>
        <v>7-Dépenses</v>
      </c>
      <c r="R400" s="153" t="str">
        <f t="shared" si="28"/>
        <v>6161</v>
      </c>
      <c r="S400" s="154">
        <f t="shared" si="28"/>
        <v>0</v>
      </c>
      <c r="T400" s="156" t="str">
        <f>+VLOOKUP($L400,Data_Validation!$A:$D,1,0)</f>
        <v>6461</v>
      </c>
      <c r="U400" s="156" t="str">
        <f>+VLOOKUP($L400,Data_Validation!$A:$D,3,0)</f>
        <v>Service</v>
      </c>
      <c r="V400" s="156" t="str">
        <f>+VLOOKUP($L400,Data_Validation!$A:$D,4,0)</f>
        <v>Amortissement</v>
      </c>
      <c r="W400" s="156" t="str">
        <f>+VLOOKUP($L400,Data_Validation!$A:$E,5,0)</f>
        <v>$</v>
      </c>
      <c r="X400" s="156">
        <f>+VLOOKUP($L400,Data_Validation!$A:$F,6,0)</f>
        <v>0</v>
      </c>
    </row>
    <row r="401" spans="1:24" ht="15" hidden="1" customHeight="1">
      <c r="A401" s="1012" t="s">
        <v>936</v>
      </c>
      <c r="B401" s="1012" t="s">
        <v>2607</v>
      </c>
      <c r="C401" s="1014">
        <v>1776</v>
      </c>
      <c r="D401" s="1014">
        <v>296</v>
      </c>
      <c r="E401" s="1014">
        <v>2072</v>
      </c>
      <c r="F401" s="1012" t="s">
        <v>401</v>
      </c>
      <c r="G401" s="1012" t="s">
        <v>2463</v>
      </c>
      <c r="H401" s="971"/>
      <c r="I401" s="974"/>
      <c r="J401" s="974"/>
      <c r="K401" s="974"/>
      <c r="L401" s="153" t="str">
        <f t="shared" si="18"/>
        <v>6462</v>
      </c>
      <c r="M401" s="154" t="str">
        <f t="shared" si="19"/>
        <v>LOCATION D'EQUIPEMENTS</v>
      </c>
      <c r="N401" s="155">
        <f>+IF(OR($Q401=Parametres!$G$2,$Q401=Parametres!$G$3),I401,C401)</f>
        <v>1776</v>
      </c>
      <c r="O401" s="155">
        <f>+IF(OR($Q401=Parametres!$G$2,$Q401=Parametres!$G$3),J401,D401)</f>
        <v>296</v>
      </c>
      <c r="P401" s="155">
        <f>+IF(OR($Q401=Parametres!$G$2,$Q401=Parametres!$G$3),K401,E401)</f>
        <v>2072</v>
      </c>
      <c r="Q401" s="154" t="str">
        <f t="shared" si="28"/>
        <v>7-Dépenses</v>
      </c>
      <c r="R401" s="153" t="str">
        <f t="shared" si="28"/>
        <v>6162</v>
      </c>
      <c r="S401" s="154">
        <f t="shared" si="28"/>
        <v>0</v>
      </c>
      <c r="T401" s="156" t="str">
        <f>+VLOOKUP($L401,Data_Validation!$A:$D,1,0)</f>
        <v>6462</v>
      </c>
      <c r="U401" s="156" t="str">
        <f>+VLOOKUP($L401,Data_Validation!$A:$D,3,0)</f>
        <v>Service</v>
      </c>
      <c r="V401" s="156" t="str">
        <f>+VLOOKUP($L401,Data_Validation!$A:$D,4,0)</f>
        <v>Location équipement</v>
      </c>
      <c r="W401" s="156" t="str">
        <f>+VLOOKUP($L401,Data_Validation!$A:$E,5,0)</f>
        <v>$</v>
      </c>
      <c r="X401" s="156">
        <f>+VLOOKUP($L401,Data_Validation!$A:$F,6,0)</f>
        <v>0</v>
      </c>
    </row>
    <row r="402" spans="1:24" ht="15" hidden="1" customHeight="1">
      <c r="A402" s="1012" t="s">
        <v>1168</v>
      </c>
      <c r="B402" s="1012" t="s">
        <v>2638</v>
      </c>
      <c r="C402" s="1014">
        <v>5304</v>
      </c>
      <c r="D402" s="1014">
        <v>884</v>
      </c>
      <c r="E402" s="1014">
        <v>6188</v>
      </c>
      <c r="F402" s="1012" t="s">
        <v>401</v>
      </c>
      <c r="G402" s="1012" t="s">
        <v>2639</v>
      </c>
      <c r="H402" s="971"/>
      <c r="I402" s="974"/>
      <c r="J402" s="974"/>
      <c r="K402" s="974"/>
      <c r="L402" s="153" t="str">
        <f t="shared" si="18"/>
        <v>6463</v>
      </c>
      <c r="M402" s="154" t="str">
        <f t="shared" si="19"/>
        <v>REPARATION &amp; ENT. - EQUIP.</v>
      </c>
      <c r="N402" s="155">
        <f>+IF(OR($Q402=Parametres!$G$2,$Q402=Parametres!$G$3),I402,C402)</f>
        <v>5304</v>
      </c>
      <c r="O402" s="155">
        <f>+IF(OR($Q402=Parametres!$G$2,$Q402=Parametres!$G$3),J402,D402)</f>
        <v>884</v>
      </c>
      <c r="P402" s="155">
        <f>+IF(OR($Q402=Parametres!$G$2,$Q402=Parametres!$G$3),K402,E402)</f>
        <v>6188</v>
      </c>
      <c r="Q402" s="154" t="str">
        <f t="shared" ref="Q402:S417" si="29">+F402</f>
        <v>7-Dépenses</v>
      </c>
      <c r="R402" s="153" t="str">
        <f t="shared" si="29"/>
        <v>6163</v>
      </c>
      <c r="S402" s="154">
        <f t="shared" si="29"/>
        <v>0</v>
      </c>
      <c r="T402" s="156" t="str">
        <f>+VLOOKUP($L402,Data_Validation!$A:$D,1,0)</f>
        <v>6463</v>
      </c>
      <c r="U402" s="156" t="str">
        <f>+VLOOKUP($L402,Data_Validation!$A:$D,3,0)</f>
        <v>Service</v>
      </c>
      <c r="V402" s="156" t="str">
        <f>+VLOOKUP($L402,Data_Validation!$A:$D,4,0)</f>
        <v>Réparation équipement</v>
      </c>
      <c r="W402" s="156" t="str">
        <f>+VLOOKUP($L402,Data_Validation!$A:$E,5,0)</f>
        <v>$</v>
      </c>
      <c r="X402" s="156">
        <f>+VLOOKUP($L402,Data_Validation!$A:$F,6,0)</f>
        <v>0</v>
      </c>
    </row>
    <row r="403" spans="1:24" ht="15.75" hidden="1" customHeight="1">
      <c r="A403" s="1012" t="s">
        <v>1311</v>
      </c>
      <c r="B403" s="1012" t="s">
        <v>2670</v>
      </c>
      <c r="C403" s="1014">
        <v>5284.8</v>
      </c>
      <c r="D403" s="1014">
        <v>880.8</v>
      </c>
      <c r="E403" s="1014">
        <v>6165.6</v>
      </c>
      <c r="F403" s="1012" t="s">
        <v>401</v>
      </c>
      <c r="G403" s="1012" t="s">
        <v>2604</v>
      </c>
      <c r="H403" s="971"/>
      <c r="I403" s="974"/>
      <c r="J403" s="974"/>
      <c r="K403" s="974"/>
      <c r="L403" s="153" t="str">
        <f t="shared" si="18"/>
        <v>6481</v>
      </c>
      <c r="M403" s="154" t="str">
        <f t="shared" si="19"/>
        <v>CHAUFFAGE,ELECTRICITE,EAU-SERVICE</v>
      </c>
      <c r="N403" s="155">
        <f>+IF(OR($Q403=Parametres!$G$2,$Q403=Parametres!$G$3),I403,C403)</f>
        <v>5284.8</v>
      </c>
      <c r="O403" s="155">
        <f>+IF(OR($Q403=Parametres!$G$2,$Q403=Parametres!$G$3),J403,D403)</f>
        <v>880.8</v>
      </c>
      <c r="P403" s="155">
        <f>+IF(OR($Q403=Parametres!$G$2,$Q403=Parametres!$G$3),K403,E403)</f>
        <v>6165.6</v>
      </c>
      <c r="Q403" s="154" t="str">
        <f t="shared" si="29"/>
        <v>7-Dépenses</v>
      </c>
      <c r="R403" s="153" t="str">
        <f t="shared" si="29"/>
        <v>6181</v>
      </c>
      <c r="S403" s="154">
        <f t="shared" si="29"/>
        <v>0</v>
      </c>
      <c r="T403" s="156" t="str">
        <f>+VLOOKUP($L403,Data_Validation!$A:$D,1,0)</f>
        <v>6481</v>
      </c>
      <c r="U403" s="156" t="str">
        <f>+VLOOKUP($L403,Data_Validation!$A:$D,3,0)</f>
        <v>Service</v>
      </c>
      <c r="V403" s="156" t="str">
        <f>+VLOOKUP($L403,Data_Validation!$A:$D,4,0)</f>
        <v>Chauffage, éclairage</v>
      </c>
      <c r="W403" s="156" t="str">
        <f>+VLOOKUP($L403,Data_Validation!$A:$E,5,0)</f>
        <v>$</v>
      </c>
      <c r="X403" s="156">
        <f>+VLOOKUP($L403,Data_Validation!$A:$F,6,0)</f>
        <v>0</v>
      </c>
    </row>
    <row r="404" spans="1:24" ht="15" hidden="1" customHeight="1">
      <c r="A404" s="1012" t="s">
        <v>1452</v>
      </c>
      <c r="B404" s="1012" t="s">
        <v>2756</v>
      </c>
      <c r="C404" s="1014">
        <v>38294.29</v>
      </c>
      <c r="D404" s="1014">
        <v>7839.96</v>
      </c>
      <c r="E404" s="1014">
        <v>46134.25</v>
      </c>
      <c r="F404" s="1012" t="s">
        <v>401</v>
      </c>
      <c r="G404" s="1012" t="s">
        <v>2709</v>
      </c>
      <c r="H404" s="971"/>
      <c r="I404" s="974"/>
      <c r="J404" s="974"/>
      <c r="K404" s="974"/>
      <c r="L404" s="153" t="str">
        <f t="shared" si="18"/>
        <v>6482</v>
      </c>
      <c r="M404" s="154" t="str">
        <f t="shared" si="19"/>
        <v>LOYER - SERVICE</v>
      </c>
      <c r="N404" s="155">
        <f>+IF(OR($Q404=Parametres!$G$2,$Q404=Parametres!$G$3),I404,C404)</f>
        <v>38294.29</v>
      </c>
      <c r="O404" s="155">
        <f>+IF(OR($Q404=Parametres!$G$2,$Q404=Parametres!$G$3),J404,D404)</f>
        <v>7839.96</v>
      </c>
      <c r="P404" s="155">
        <f>+IF(OR($Q404=Parametres!$G$2,$Q404=Parametres!$G$3),K404,E404)</f>
        <v>46134.25</v>
      </c>
      <c r="Q404" s="154" t="str">
        <f t="shared" si="29"/>
        <v>7-Dépenses</v>
      </c>
      <c r="R404" s="153" t="str">
        <f t="shared" si="29"/>
        <v>6182</v>
      </c>
      <c r="S404" s="154">
        <f t="shared" si="29"/>
        <v>0</v>
      </c>
      <c r="T404" s="156" t="str">
        <f>+VLOOKUP($L404,Data_Validation!$A:$D,1,0)</f>
        <v>6482</v>
      </c>
      <c r="U404" s="156" t="str">
        <f>+VLOOKUP($L404,Data_Validation!$A:$D,3,0)</f>
        <v>Service</v>
      </c>
      <c r="V404" s="156" t="str">
        <f>+VLOOKUP($L404,Data_Validation!$A:$D,4,0)</f>
        <v>Loyer</v>
      </c>
      <c r="W404" s="156" t="str">
        <f>+VLOOKUP($L404,Data_Validation!$A:$E,5,0)</f>
        <v>$</v>
      </c>
      <c r="X404" s="156">
        <f>+VLOOKUP($L404,Data_Validation!$A:$F,6,0)</f>
        <v>0</v>
      </c>
    </row>
    <row r="405" spans="1:24" ht="15" hidden="1" customHeight="1">
      <c r="A405" s="1012" t="s">
        <v>1347</v>
      </c>
      <c r="B405" s="1012" t="s">
        <v>2657</v>
      </c>
      <c r="C405" s="1014">
        <v>2160</v>
      </c>
      <c r="D405" s="1014">
        <v>360</v>
      </c>
      <c r="E405" s="1014">
        <v>2520</v>
      </c>
      <c r="F405" s="1012" t="s">
        <v>401</v>
      </c>
      <c r="G405" s="1012" t="s">
        <v>2594</v>
      </c>
      <c r="H405" s="971"/>
      <c r="I405" s="974"/>
      <c r="J405" s="974"/>
      <c r="K405" s="974"/>
      <c r="L405" s="153" t="str">
        <f t="shared" si="18"/>
        <v>6486</v>
      </c>
      <c r="M405" s="154" t="str">
        <f t="shared" si="19"/>
        <v>ASSURANCE BATISSE &amp; AMEL.-SERVICE</v>
      </c>
      <c r="N405" s="155">
        <f>+IF(OR($Q405=Parametres!$G$2,$Q405=Parametres!$G$3),I405,C405)</f>
        <v>2160</v>
      </c>
      <c r="O405" s="155">
        <f>+IF(OR($Q405=Parametres!$G$2,$Q405=Parametres!$G$3),J405,D405)</f>
        <v>360</v>
      </c>
      <c r="P405" s="155">
        <f>+IF(OR($Q405=Parametres!$G$2,$Q405=Parametres!$G$3),K405,E405)</f>
        <v>2520</v>
      </c>
      <c r="Q405" s="154" t="str">
        <f t="shared" si="29"/>
        <v>7-Dépenses</v>
      </c>
      <c r="R405" s="153" t="str">
        <f t="shared" si="29"/>
        <v>6186</v>
      </c>
      <c r="S405" s="154">
        <f t="shared" si="29"/>
        <v>0</v>
      </c>
      <c r="T405" s="156" t="str">
        <f>+VLOOKUP($L405,Data_Validation!$A:$D,1,0)</f>
        <v>6486</v>
      </c>
      <c r="U405" s="156" t="str">
        <f>+VLOOKUP($L405,Data_Validation!$A:$D,3,0)</f>
        <v>Service</v>
      </c>
      <c r="V405" s="156" t="str">
        <f>+VLOOKUP($L405,Data_Validation!$A:$D,4,0)</f>
        <v>Assurances</v>
      </c>
      <c r="W405" s="156" t="str">
        <f>+VLOOKUP($L405,Data_Validation!$A:$E,5,0)</f>
        <v>$</v>
      </c>
      <c r="X405" s="156">
        <f>+VLOOKUP($L405,Data_Validation!$A:$F,6,0)</f>
        <v>0</v>
      </c>
    </row>
    <row r="406" spans="1:24" ht="15" hidden="1" customHeight="1">
      <c r="A406" s="1012" t="s">
        <v>1340</v>
      </c>
      <c r="B406" s="1012" t="s">
        <v>2681</v>
      </c>
      <c r="C406" s="1014">
        <v>6768</v>
      </c>
      <c r="D406" s="1014">
        <v>1128</v>
      </c>
      <c r="E406" s="1014">
        <v>7896</v>
      </c>
      <c r="F406" s="1012" t="s">
        <v>401</v>
      </c>
      <c r="G406" s="1012" t="s">
        <v>2614</v>
      </c>
      <c r="H406" s="971"/>
      <c r="I406" s="974"/>
      <c r="J406" s="974"/>
      <c r="K406" s="974"/>
      <c r="L406" s="153" t="str">
        <f t="shared" si="18"/>
        <v>6487</v>
      </c>
      <c r="M406" s="154" t="str">
        <f t="shared" si="19"/>
        <v>TAXES FONCIERES - SERVICE</v>
      </c>
      <c r="N406" s="155">
        <f>+IF(OR($Q406=Parametres!$G$2,$Q406=Parametres!$G$3),I406,C406)</f>
        <v>6768</v>
      </c>
      <c r="O406" s="155">
        <f>+IF(OR($Q406=Parametres!$G$2,$Q406=Parametres!$G$3),J406,D406)</f>
        <v>1128</v>
      </c>
      <c r="P406" s="155">
        <f>+IF(OR($Q406=Parametres!$G$2,$Q406=Parametres!$G$3),K406,E406)</f>
        <v>7896</v>
      </c>
      <c r="Q406" s="154" t="str">
        <f t="shared" si="29"/>
        <v>7-Dépenses</v>
      </c>
      <c r="R406" s="153" t="str">
        <f t="shared" si="29"/>
        <v>6187</v>
      </c>
      <c r="S406" s="154">
        <f t="shared" si="29"/>
        <v>0</v>
      </c>
      <c r="T406" s="156" t="str">
        <f>+VLOOKUP($L406,Data_Validation!$A:$D,1,0)</f>
        <v>6487</v>
      </c>
      <c r="U406" s="156" t="str">
        <f>+VLOOKUP($L406,Data_Validation!$A:$D,3,0)</f>
        <v>Service</v>
      </c>
      <c r="V406" s="156" t="str">
        <f>+VLOOKUP($L406,Data_Validation!$A:$D,4,0)</f>
        <v>Taxes foncières</v>
      </c>
      <c r="W406" s="156" t="str">
        <f>+VLOOKUP($L406,Data_Validation!$A:$E,5,0)</f>
        <v>$</v>
      </c>
      <c r="X406" s="156">
        <f>+VLOOKUP($L406,Data_Validation!$A:$F,6,0)</f>
        <v>0</v>
      </c>
    </row>
    <row r="407" spans="1:24" ht="15.75" hidden="1" customHeight="1">
      <c r="A407" s="1012" t="s">
        <v>1274</v>
      </c>
      <c r="B407" s="1012" t="s">
        <v>2663</v>
      </c>
      <c r="C407" s="1014">
        <v>4536</v>
      </c>
      <c r="D407" s="1014">
        <v>756</v>
      </c>
      <c r="E407" s="1014">
        <v>5292</v>
      </c>
      <c r="F407" s="1012" t="s">
        <v>401</v>
      </c>
      <c r="G407" s="1012" t="s">
        <v>2597</v>
      </c>
      <c r="H407" s="971"/>
      <c r="I407" s="974"/>
      <c r="J407" s="974"/>
      <c r="K407" s="974"/>
      <c r="L407" s="153" t="str">
        <f t="shared" si="18"/>
        <v>6493</v>
      </c>
      <c r="M407" s="154" t="str">
        <f t="shared" si="19"/>
        <v>AUTRE TAXES-SERVICE</v>
      </c>
      <c r="N407" s="155">
        <f>+IF(OR($Q407=Parametres!$G$2,$Q407=Parametres!$G$3),I407,C407)</f>
        <v>4536</v>
      </c>
      <c r="O407" s="155">
        <f>+IF(OR($Q407=Parametres!$G$2,$Q407=Parametres!$G$3),J407,D407)</f>
        <v>756</v>
      </c>
      <c r="P407" s="155">
        <f>+IF(OR($Q407=Parametres!$G$2,$Q407=Parametres!$G$3),K407,E407)</f>
        <v>5292</v>
      </c>
      <c r="Q407" s="154" t="str">
        <f t="shared" si="29"/>
        <v>7-Dépenses</v>
      </c>
      <c r="R407" s="153" t="str">
        <f t="shared" si="29"/>
        <v>6193</v>
      </c>
      <c r="S407" s="154">
        <f t="shared" si="29"/>
        <v>0</v>
      </c>
      <c r="T407" s="156" t="str">
        <f>+VLOOKUP($L407,Data_Validation!$A:$D,1,0)</f>
        <v>6493</v>
      </c>
      <c r="U407" s="156" t="str">
        <f>+VLOOKUP($L407,Data_Validation!$A:$D,3,0)</f>
        <v>Service</v>
      </c>
      <c r="V407" s="156" t="str">
        <f>+VLOOKUP($L407,Data_Validation!$A:$D,4,0)</f>
        <v>Taxes d`affaires</v>
      </c>
      <c r="W407" s="156" t="str">
        <f>+VLOOKUP($L407,Data_Validation!$A:$E,5,0)</f>
        <v>$</v>
      </c>
      <c r="X407" s="156">
        <f>+VLOOKUP($L407,Data_Validation!$A:$F,6,0)</f>
        <v>0</v>
      </c>
    </row>
    <row r="408" spans="1:24" ht="15" hidden="1" customHeight="1">
      <c r="A408" s="1012" t="s">
        <v>1367</v>
      </c>
      <c r="B408" s="1012" t="s">
        <v>2699</v>
      </c>
      <c r="C408" s="1014">
        <v>11556</v>
      </c>
      <c r="D408" s="1014">
        <v>1926</v>
      </c>
      <c r="E408" s="1014">
        <v>13482</v>
      </c>
      <c r="F408" s="1012" t="s">
        <v>401</v>
      </c>
      <c r="G408" s="1012" t="s">
        <v>2635</v>
      </c>
      <c r="H408" s="971"/>
      <c r="I408" s="974"/>
      <c r="J408" s="974"/>
      <c r="K408" s="974"/>
      <c r="L408" s="153" t="str">
        <f t="shared" si="18"/>
        <v>6494</v>
      </c>
      <c r="M408" s="154" t="str">
        <f t="shared" si="19"/>
        <v>FRAIS PROFESSIONNEL-SERVICE</v>
      </c>
      <c r="N408" s="155">
        <f>+IF(OR($Q408=Parametres!$G$2,$Q408=Parametres!$G$3),I408,C408)</f>
        <v>11556</v>
      </c>
      <c r="O408" s="155">
        <f>+IF(OR($Q408=Parametres!$G$2,$Q408=Parametres!$G$3),J408,D408)</f>
        <v>1926</v>
      </c>
      <c r="P408" s="155">
        <f>+IF(OR($Q408=Parametres!$G$2,$Q408=Parametres!$G$3),K408,E408)</f>
        <v>13482</v>
      </c>
      <c r="Q408" s="154" t="str">
        <f t="shared" si="29"/>
        <v>7-Dépenses</v>
      </c>
      <c r="R408" s="153" t="str">
        <f t="shared" si="29"/>
        <v>6194</v>
      </c>
      <c r="S408" s="154">
        <f t="shared" si="29"/>
        <v>0</v>
      </c>
      <c r="T408" s="156" t="str">
        <f>+VLOOKUP($L408,Data_Validation!$A:$D,1,0)</f>
        <v>6494</v>
      </c>
      <c r="U408" s="156" t="str">
        <f>+VLOOKUP($L408,Data_Validation!$A:$D,3,0)</f>
        <v>Service</v>
      </c>
      <c r="V408" s="156" t="str">
        <f>+VLOOKUP($L408,Data_Validation!$A:$D,4,0)</f>
        <v>Honoraires</v>
      </c>
      <c r="W408" s="156" t="str">
        <f>+VLOOKUP($L408,Data_Validation!$A:$E,5,0)</f>
        <v>$</v>
      </c>
      <c r="X408" s="156">
        <f>+VLOOKUP($L408,Data_Validation!$A:$F,6,0)</f>
        <v>0</v>
      </c>
    </row>
    <row r="409" spans="1:24" ht="15" hidden="1" customHeight="1">
      <c r="A409" s="1012" t="s">
        <v>399</v>
      </c>
      <c r="B409" s="1012" t="s">
        <v>2627</v>
      </c>
      <c r="C409" s="1014">
        <v>5841.06</v>
      </c>
      <c r="D409" s="1014">
        <v>1164.1400000000001</v>
      </c>
      <c r="E409" s="1014">
        <v>7005.2</v>
      </c>
      <c r="F409" s="1012" t="s">
        <v>401</v>
      </c>
      <c r="G409" s="1012" t="s">
        <v>2467</v>
      </c>
      <c r="H409" s="971"/>
      <c r="I409" s="974"/>
      <c r="J409" s="974"/>
      <c r="K409" s="974"/>
      <c r="L409" s="153" t="str">
        <f t="shared" si="18"/>
        <v>6503</v>
      </c>
      <c r="M409" s="154" t="str">
        <f t="shared" si="19"/>
        <v>RELAT. A LA CLIENTELE &amp; AJUST.</v>
      </c>
      <c r="N409" s="155">
        <f>+IF(OR($Q409=Parametres!$G$2,$Q409=Parametres!$G$3),I409,C409)</f>
        <v>5841.06</v>
      </c>
      <c r="O409" s="155">
        <f>+IF(OR($Q409=Parametres!$G$2,$Q409=Parametres!$G$3),J409,D409)</f>
        <v>1164.1400000000001</v>
      </c>
      <c r="P409" s="155">
        <f>+IF(OR($Q409=Parametres!$G$2,$Q409=Parametres!$G$3),K409,E409)</f>
        <v>7005.2</v>
      </c>
      <c r="Q409" s="154" t="str">
        <f t="shared" si="29"/>
        <v>7-Dépenses</v>
      </c>
      <c r="R409" s="153" t="str">
        <f t="shared" si="29"/>
        <v>6112</v>
      </c>
      <c r="S409" s="154">
        <f t="shared" si="29"/>
        <v>0</v>
      </c>
      <c r="T409" s="156" t="str">
        <f>+VLOOKUP($L409,Data_Validation!$A:$D,1,0)</f>
        <v>6503</v>
      </c>
      <c r="U409" s="156" t="str">
        <f>+VLOOKUP($L409,Data_Validation!$A:$D,3,0)</f>
        <v>Carrosserie</v>
      </c>
      <c r="V409" s="156" t="str">
        <f>+VLOOKUP($L409,Data_Validation!$A:$D,4,0)</f>
        <v>Service gratuit 2</v>
      </c>
      <c r="W409" s="156" t="str">
        <f>+VLOOKUP($L409,Data_Validation!$A:$E,5,0)</f>
        <v>$</v>
      </c>
      <c r="X409" s="156">
        <f>+VLOOKUP($L409,Data_Validation!$A:$F,6,0)</f>
        <v>0</v>
      </c>
    </row>
    <row r="410" spans="1:24" ht="15" hidden="1" customHeight="1">
      <c r="A410" s="1012" t="s">
        <v>1259</v>
      </c>
      <c r="B410" s="1012" t="s">
        <v>2647</v>
      </c>
      <c r="C410" s="1014">
        <v>4532.6400000000003</v>
      </c>
      <c r="D410" s="1014">
        <v>286.27</v>
      </c>
      <c r="E410" s="1014">
        <v>4818.91</v>
      </c>
      <c r="F410" s="1012" t="s">
        <v>401</v>
      </c>
      <c r="G410" s="1012" t="s">
        <v>2648</v>
      </c>
      <c r="H410" s="971"/>
      <c r="I410" s="974"/>
      <c r="J410" s="974"/>
      <c r="K410" s="974"/>
      <c r="L410" s="153" t="str">
        <f t="shared" si="18"/>
        <v>6521</v>
      </c>
      <c r="M410" s="154" t="str">
        <f t="shared" si="19"/>
        <v>SALAIRES - PROPRIETAIRES</v>
      </c>
      <c r="N410" s="155">
        <f>+IF(OR($Q410=Parametres!$G$2,$Q410=Parametres!$G$3),I410,C410)</f>
        <v>4532.6400000000003</v>
      </c>
      <c r="O410" s="155">
        <f>+IF(OR($Q410=Parametres!$G$2,$Q410=Parametres!$G$3),J410,D410)</f>
        <v>286.27</v>
      </c>
      <c r="P410" s="155">
        <f>+IF(OR($Q410=Parametres!$G$2,$Q410=Parametres!$G$3),K410,E410)</f>
        <v>4818.91</v>
      </c>
      <c r="Q410" s="154" t="str">
        <f t="shared" si="29"/>
        <v>7-Dépenses</v>
      </c>
      <c r="R410" s="153" t="str">
        <f t="shared" si="29"/>
        <v>6121</v>
      </c>
      <c r="S410" s="154">
        <f t="shared" si="29"/>
        <v>0</v>
      </c>
      <c r="T410" s="156" t="str">
        <f>+VLOOKUP($L410,Data_Validation!$A:$D,1,0)</f>
        <v>6521</v>
      </c>
      <c r="U410" s="156" t="str">
        <f>+VLOOKUP($L410,Data_Validation!$A:$D,3,0)</f>
        <v>Carrosserie</v>
      </c>
      <c r="V410" s="156" t="str">
        <f>+VLOOKUP($L410,Data_Validation!$A:$D,4,0)</f>
        <v>Salaires propriétaire</v>
      </c>
      <c r="W410" s="156" t="str">
        <f>+VLOOKUP($L410,Data_Validation!$A:$E,5,0)</f>
        <v>$</v>
      </c>
      <c r="X410" s="156">
        <f>+VLOOKUP($L410,Data_Validation!$A:$F,6,0)</f>
        <v>0</v>
      </c>
    </row>
    <row r="411" spans="1:24" ht="15.75" hidden="1" customHeight="1">
      <c r="A411" s="1012" t="s">
        <v>2624</v>
      </c>
      <c r="B411" s="1012" t="s">
        <v>2625</v>
      </c>
      <c r="C411" s="1014">
        <v>2439.11</v>
      </c>
      <c r="D411" s="1014">
        <v>661.42</v>
      </c>
      <c r="E411" s="1014">
        <v>3100.53</v>
      </c>
      <c r="F411" s="1012" t="s">
        <v>401</v>
      </c>
      <c r="G411" s="1012" t="s">
        <v>2626</v>
      </c>
      <c r="H411" s="971"/>
      <c r="I411" s="974"/>
      <c r="J411" s="974"/>
      <c r="K411" s="974"/>
      <c r="L411" s="153" t="str">
        <f t="shared" si="18"/>
        <v>6522</v>
      </c>
      <c r="M411" s="154" t="str">
        <f t="shared" si="19"/>
        <v>SAL SUPERVISION / GERANT</v>
      </c>
      <c r="N411" s="155">
        <f>+IF(OR($Q411=Parametres!$G$2,$Q411=Parametres!$G$3),I411,C411)</f>
        <v>2439.11</v>
      </c>
      <c r="O411" s="155">
        <f>+IF(OR($Q411=Parametres!$G$2,$Q411=Parametres!$G$3),J411,D411)</f>
        <v>661.42</v>
      </c>
      <c r="P411" s="155">
        <f>+IF(OR($Q411=Parametres!$G$2,$Q411=Parametres!$G$3),K411,E411)</f>
        <v>3100.53</v>
      </c>
      <c r="Q411" s="154" t="str">
        <f t="shared" si="29"/>
        <v>7-Dépenses</v>
      </c>
      <c r="R411" s="153" t="str">
        <f t="shared" si="29"/>
        <v>6122</v>
      </c>
      <c r="S411" s="154">
        <f t="shared" si="29"/>
        <v>0</v>
      </c>
      <c r="T411" s="156" t="str">
        <f>+VLOOKUP($L411,Data_Validation!$A:$D,1,0)</f>
        <v>6522</v>
      </c>
      <c r="U411" s="156" t="str">
        <f>+VLOOKUP($L411,Data_Validation!$A:$D,3,0)</f>
        <v>Carrosserie</v>
      </c>
      <c r="V411" s="156" t="str">
        <f>+VLOOKUP($L411,Data_Validation!$A:$D,4,0)</f>
        <v>Salaires cadres</v>
      </c>
      <c r="W411" s="156" t="str">
        <f>+VLOOKUP($L411,Data_Validation!$A:$E,5,0)</f>
        <v>$</v>
      </c>
      <c r="X411" s="156">
        <f>+VLOOKUP($L411,Data_Validation!$A:$F,6,0)</f>
        <v>0</v>
      </c>
    </row>
    <row r="412" spans="1:24" ht="15" hidden="1" customHeight="1">
      <c r="A412" s="1012" t="s">
        <v>1266</v>
      </c>
      <c r="B412" s="1012" t="s">
        <v>2678</v>
      </c>
      <c r="C412" s="1014">
        <v>6884.73</v>
      </c>
      <c r="D412" s="1014">
        <v>1167.0899999999999</v>
      </c>
      <c r="E412" s="1014">
        <v>8051.82</v>
      </c>
      <c r="F412" s="1012" t="s">
        <v>401</v>
      </c>
      <c r="G412" s="1012" t="s">
        <v>2679</v>
      </c>
      <c r="H412" s="971"/>
      <c r="I412" s="974"/>
      <c r="J412" s="974"/>
      <c r="K412" s="974"/>
      <c r="L412" s="153" t="str">
        <f t="shared" si="18"/>
        <v>6523</v>
      </c>
      <c r="M412" s="154" t="str">
        <f t="shared" si="19"/>
        <v>SAL. &amp; RENUM. CLERICAL</v>
      </c>
      <c r="N412" s="155">
        <f>+IF(OR($Q412=Parametres!$G$2,$Q412=Parametres!$G$3),I412,C412)</f>
        <v>6884.73</v>
      </c>
      <c r="O412" s="155">
        <f>+IF(OR($Q412=Parametres!$G$2,$Q412=Parametres!$G$3),J412,D412)</f>
        <v>1167.0899999999999</v>
      </c>
      <c r="P412" s="155">
        <f>+IF(OR($Q412=Parametres!$G$2,$Q412=Parametres!$G$3),K412,E412)</f>
        <v>8051.82</v>
      </c>
      <c r="Q412" s="154" t="str">
        <f t="shared" si="29"/>
        <v>7-Dépenses</v>
      </c>
      <c r="R412" s="153" t="str">
        <f t="shared" si="29"/>
        <v>6123</v>
      </c>
      <c r="S412" s="154">
        <f t="shared" si="29"/>
        <v>0</v>
      </c>
      <c r="T412" s="156" t="str">
        <f>+VLOOKUP($L412,Data_Validation!$A:$D,1,0)</f>
        <v>6523</v>
      </c>
      <c r="U412" s="156" t="str">
        <f>+VLOOKUP($L412,Data_Validation!$A:$D,3,0)</f>
        <v>Carrosserie</v>
      </c>
      <c r="V412" s="156" t="str">
        <f>+VLOOKUP($L412,Data_Validation!$A:$D,4,0)</f>
        <v>Salaires commis</v>
      </c>
      <c r="W412" s="156" t="str">
        <f>+VLOOKUP($L412,Data_Validation!$A:$E,5,0)</f>
        <v>$</v>
      </c>
      <c r="X412" s="156">
        <f>+VLOOKUP($L412,Data_Validation!$A:$F,6,0)</f>
        <v>0</v>
      </c>
    </row>
    <row r="413" spans="1:24" ht="15" hidden="1" customHeight="1">
      <c r="A413" s="1012" t="s">
        <v>1249</v>
      </c>
      <c r="B413" s="1012" t="s">
        <v>2734</v>
      </c>
      <c r="C413" s="1014">
        <v>31862.5</v>
      </c>
      <c r="D413" s="1014">
        <v>6349.9</v>
      </c>
      <c r="E413" s="1014">
        <v>38212.400000000001</v>
      </c>
      <c r="F413" s="1012" t="s">
        <v>401</v>
      </c>
      <c r="G413" s="1012" t="s">
        <v>2735</v>
      </c>
      <c r="H413" s="971"/>
      <c r="I413" s="974"/>
      <c r="J413" s="974"/>
      <c r="K413" s="974"/>
      <c r="L413" s="153" t="str">
        <f t="shared" si="18"/>
        <v>6524</v>
      </c>
      <c r="M413" s="154" t="str">
        <f t="shared" si="19"/>
        <v>SALAIRES &amp; RENUM. - AUTRES</v>
      </c>
      <c r="N413" s="155">
        <f>+IF(OR($Q413=Parametres!$G$2,$Q413=Parametres!$G$3),I413,C413)</f>
        <v>31862.5</v>
      </c>
      <c r="O413" s="155">
        <f>+IF(OR($Q413=Parametres!$G$2,$Q413=Parametres!$G$3),J413,D413)</f>
        <v>6349.9</v>
      </c>
      <c r="P413" s="155">
        <f>+IF(OR($Q413=Parametres!$G$2,$Q413=Parametres!$G$3),K413,E413)</f>
        <v>38212.400000000001</v>
      </c>
      <c r="Q413" s="154" t="str">
        <f t="shared" si="29"/>
        <v>7-Dépenses</v>
      </c>
      <c r="R413" s="153" t="str">
        <f t="shared" si="29"/>
        <v>6124</v>
      </c>
      <c r="S413" s="154">
        <f t="shared" si="29"/>
        <v>0</v>
      </c>
      <c r="T413" s="156" t="str">
        <f>+VLOOKUP($L413,Data_Validation!$A:$D,1,0)</f>
        <v>6524</v>
      </c>
      <c r="U413" s="156" t="str">
        <f>+VLOOKUP($L413,Data_Validation!$A:$D,3,0)</f>
        <v>Carrosserie</v>
      </c>
      <c r="V413" s="156" t="str">
        <f>+VLOOKUP($L413,Data_Validation!$A:$D,4,0)</f>
        <v>Salaires autres</v>
      </c>
      <c r="W413" s="156" t="str">
        <f>+VLOOKUP($L413,Data_Validation!$A:$E,5,0)</f>
        <v>$</v>
      </c>
      <c r="X413" s="156">
        <f>+VLOOKUP($L413,Data_Validation!$A:$F,6,0)</f>
        <v>0</v>
      </c>
    </row>
    <row r="414" spans="1:24" ht="15" hidden="1" customHeight="1">
      <c r="A414" s="1012" t="s">
        <v>1330</v>
      </c>
      <c r="B414" s="1012" t="s">
        <v>2720</v>
      </c>
      <c r="C414" s="1014">
        <v>32339.96</v>
      </c>
      <c r="D414" s="1014">
        <v>6760.68</v>
      </c>
      <c r="E414" s="1014">
        <v>39100.639999999999</v>
      </c>
      <c r="F414" s="1012" t="s">
        <v>401</v>
      </c>
      <c r="G414" s="1012" t="s">
        <v>2721</v>
      </c>
      <c r="H414" s="971"/>
      <c r="I414" s="974"/>
      <c r="J414" s="974"/>
      <c r="K414" s="974"/>
      <c r="L414" s="153" t="str">
        <f t="shared" si="18"/>
        <v>6525</v>
      </c>
      <c r="M414" s="154" t="str">
        <f t="shared" si="19"/>
        <v>SALAIRE SPECIALISTES</v>
      </c>
      <c r="N414" s="155">
        <f>+IF(OR($Q414=Parametres!$G$2,$Q414=Parametres!$G$3),I414,C414)</f>
        <v>32339.96</v>
      </c>
      <c r="O414" s="155">
        <f>+IF(OR($Q414=Parametres!$G$2,$Q414=Parametres!$G$3),J414,D414)</f>
        <v>6760.68</v>
      </c>
      <c r="P414" s="155">
        <f>+IF(OR($Q414=Parametres!$G$2,$Q414=Parametres!$G$3),K414,E414)</f>
        <v>39100.639999999999</v>
      </c>
      <c r="Q414" s="154" t="str">
        <f t="shared" si="29"/>
        <v>7-Dépenses</v>
      </c>
      <c r="R414" s="153" t="str">
        <f t="shared" si="29"/>
        <v>6125</v>
      </c>
      <c r="S414" s="154">
        <f t="shared" si="29"/>
        <v>0</v>
      </c>
      <c r="T414" s="156" t="str">
        <f>+VLOOKUP($L414,Data_Validation!$A:$D,1,0)</f>
        <v>6525</v>
      </c>
      <c r="U414" s="156" t="str">
        <f>+VLOOKUP($L414,Data_Validation!$A:$D,3,0)</f>
        <v>Carrosserie</v>
      </c>
      <c r="V414" s="156" t="str">
        <f>+VLOOKUP($L414,Data_Validation!$A:$D,4,0)</f>
        <v>Salaires spécialistes</v>
      </c>
      <c r="W414" s="156" t="str">
        <f>+VLOOKUP($L414,Data_Validation!$A:$E,5,0)</f>
        <v>$</v>
      </c>
      <c r="X414" s="156">
        <f>+VLOOKUP($L414,Data_Validation!$A:$F,6,0)</f>
        <v>0</v>
      </c>
    </row>
    <row r="415" spans="1:24" ht="15.75" hidden="1" customHeight="1">
      <c r="A415" s="1012" t="s">
        <v>1211</v>
      </c>
      <c r="B415" s="1012" t="s">
        <v>2640</v>
      </c>
      <c r="C415" s="1014">
        <v>7201.79</v>
      </c>
      <c r="D415" s="1014">
        <v>1245.21</v>
      </c>
      <c r="E415" s="1014">
        <v>8447</v>
      </c>
      <c r="F415" s="1012" t="s">
        <v>401</v>
      </c>
      <c r="G415" s="1012" t="s">
        <v>2641</v>
      </c>
      <c r="H415" s="971"/>
      <c r="I415" s="974"/>
      <c r="J415" s="974"/>
      <c r="K415" s="974"/>
      <c r="L415" s="153" t="str">
        <f t="shared" si="18"/>
        <v>6529</v>
      </c>
      <c r="M415" s="154" t="str">
        <f t="shared" si="19"/>
        <v>ABS.,VACANCES &amp; SAL. JOURS FER</v>
      </c>
      <c r="N415" s="155">
        <f>+IF(OR($Q415=Parametres!$G$2,$Q415=Parametres!$G$3),I415,C415)</f>
        <v>7201.79</v>
      </c>
      <c r="O415" s="155">
        <f>+IF(OR($Q415=Parametres!$G$2,$Q415=Parametres!$G$3),J415,D415)</f>
        <v>1245.21</v>
      </c>
      <c r="P415" s="155">
        <f>+IF(OR($Q415=Parametres!$G$2,$Q415=Parametres!$G$3),K415,E415)</f>
        <v>8447</v>
      </c>
      <c r="Q415" s="154" t="str">
        <f t="shared" si="29"/>
        <v>7-Dépenses</v>
      </c>
      <c r="R415" s="153" t="str">
        <f t="shared" si="29"/>
        <v>6129</v>
      </c>
      <c r="S415" s="154">
        <f t="shared" si="29"/>
        <v>0</v>
      </c>
      <c r="T415" s="156" t="str">
        <f>+VLOOKUP($L415,Data_Validation!$A:$D,1,0)</f>
        <v>6529</v>
      </c>
      <c r="U415" s="156" t="str">
        <f>+VLOOKUP($L415,Data_Validation!$A:$D,3,0)</f>
        <v>Carrosserie</v>
      </c>
      <c r="V415" s="156" t="str">
        <f>+VLOOKUP($L415,Data_Validation!$A:$D,4,0)</f>
        <v>Salaires en absences</v>
      </c>
      <c r="W415" s="156" t="str">
        <f>+VLOOKUP($L415,Data_Validation!$A:$E,5,0)</f>
        <v>$</v>
      </c>
      <c r="X415" s="156">
        <f>+VLOOKUP($L415,Data_Validation!$A:$F,6,0)</f>
        <v>0</v>
      </c>
    </row>
    <row r="416" spans="1:24" ht="15" hidden="1" customHeight="1">
      <c r="A416" s="1012" t="s">
        <v>1252</v>
      </c>
      <c r="B416" s="1012" t="s">
        <v>2585</v>
      </c>
      <c r="C416" s="1014">
        <v>1756.91</v>
      </c>
      <c r="D416" s="1014">
        <v>281.25</v>
      </c>
      <c r="E416" s="1014">
        <v>2038.16</v>
      </c>
      <c r="F416" s="1012" t="s">
        <v>401</v>
      </c>
      <c r="G416" s="1012" t="s">
        <v>2586</v>
      </c>
      <c r="H416" s="971"/>
      <c r="I416" s="974"/>
      <c r="J416" s="974"/>
      <c r="K416" s="974"/>
      <c r="L416" s="153" t="str">
        <f t="shared" si="18"/>
        <v>6531</v>
      </c>
      <c r="M416" s="154" t="str">
        <f t="shared" si="19"/>
        <v>CSST</v>
      </c>
      <c r="N416" s="155">
        <f>+IF(OR($Q416=Parametres!$G$2,$Q416=Parametres!$G$3),I416,C416)</f>
        <v>1756.91</v>
      </c>
      <c r="O416" s="155">
        <f>+IF(OR($Q416=Parametres!$G$2,$Q416=Parametres!$G$3),J416,D416)</f>
        <v>281.25</v>
      </c>
      <c r="P416" s="155">
        <f>+IF(OR($Q416=Parametres!$G$2,$Q416=Parametres!$G$3),K416,E416)</f>
        <v>2038.16</v>
      </c>
      <c r="Q416" s="154" t="str">
        <f t="shared" si="29"/>
        <v>7-Dépenses</v>
      </c>
      <c r="R416" s="153" t="str">
        <f t="shared" si="29"/>
        <v>6131</v>
      </c>
      <c r="S416" s="154">
        <f t="shared" si="29"/>
        <v>0</v>
      </c>
      <c r="T416" s="156" t="str">
        <f>+VLOOKUP($L416,Data_Validation!$A:$D,1,0)</f>
        <v>6531</v>
      </c>
      <c r="U416" s="156" t="str">
        <f>+VLOOKUP($L416,Data_Validation!$A:$D,3,0)</f>
        <v>Carrosserie</v>
      </c>
      <c r="V416" s="156" t="str">
        <f>+VLOOKUP($L416,Data_Validation!$A:$D,4,0)</f>
        <v>Csst</v>
      </c>
      <c r="W416" s="156" t="str">
        <f>+VLOOKUP($L416,Data_Validation!$A:$E,5,0)</f>
        <v>$</v>
      </c>
      <c r="X416" s="156">
        <f>+VLOOKUP($L416,Data_Validation!$A:$F,6,0)</f>
        <v>0</v>
      </c>
    </row>
    <row r="417" spans="1:24" ht="15" hidden="1" customHeight="1">
      <c r="A417" s="1012" t="s">
        <v>1283</v>
      </c>
      <c r="B417" s="1012" t="s">
        <v>2684</v>
      </c>
      <c r="C417" s="1014">
        <v>7157.36</v>
      </c>
      <c r="D417" s="1014">
        <v>1234.51</v>
      </c>
      <c r="E417" s="1014">
        <v>8391.8700000000008</v>
      </c>
      <c r="F417" s="1012" t="s">
        <v>401</v>
      </c>
      <c r="G417" s="1012" t="s">
        <v>2685</v>
      </c>
      <c r="H417" s="971"/>
      <c r="I417" s="974"/>
      <c r="J417" s="974"/>
      <c r="K417" s="974"/>
      <c r="L417" s="153" t="str">
        <f t="shared" si="18"/>
        <v>6532</v>
      </c>
      <c r="M417" s="154" t="str">
        <f t="shared" si="19"/>
        <v>RRQ RAMQ AC</v>
      </c>
      <c r="N417" s="155">
        <f>+IF(OR($Q417=Parametres!$G$2,$Q417=Parametres!$G$3),I417,C417)</f>
        <v>7157.36</v>
      </c>
      <c r="O417" s="155">
        <f>+IF(OR($Q417=Parametres!$G$2,$Q417=Parametres!$G$3),J417,D417)</f>
        <v>1234.51</v>
      </c>
      <c r="P417" s="155">
        <f>+IF(OR($Q417=Parametres!$G$2,$Q417=Parametres!$G$3),K417,E417)</f>
        <v>8391.8700000000008</v>
      </c>
      <c r="Q417" s="154" t="str">
        <f t="shared" si="29"/>
        <v>7-Dépenses</v>
      </c>
      <c r="R417" s="153" t="str">
        <f t="shared" si="29"/>
        <v>6132</v>
      </c>
      <c r="S417" s="154">
        <f t="shared" si="29"/>
        <v>0</v>
      </c>
      <c r="T417" s="156" t="str">
        <f>+VLOOKUP($L417,Data_Validation!$A:$D,1,0)</f>
        <v>6532</v>
      </c>
      <c r="U417" s="156" t="str">
        <f>+VLOOKUP($L417,Data_Validation!$A:$D,3,0)</f>
        <v>Carrosserie</v>
      </c>
      <c r="V417" s="156" t="str">
        <f>+VLOOKUP($L417,Data_Validation!$A:$D,4,0)</f>
        <v>Déduction à la source</v>
      </c>
      <c r="W417" s="156" t="str">
        <f>+VLOOKUP($L417,Data_Validation!$A:$E,5,0)</f>
        <v>$</v>
      </c>
      <c r="X417" s="156">
        <f>+VLOOKUP($L417,Data_Validation!$A:$F,6,0)</f>
        <v>0</v>
      </c>
    </row>
    <row r="418" spans="1:24" ht="15" hidden="1" customHeight="1">
      <c r="A418" s="1012" t="s">
        <v>1305</v>
      </c>
      <c r="B418" s="1012" t="s">
        <v>2693</v>
      </c>
      <c r="C418" s="1014">
        <v>3193.98</v>
      </c>
      <c r="D418" s="1014">
        <v>532.33000000000004</v>
      </c>
      <c r="E418" s="1014">
        <v>3726.31</v>
      </c>
      <c r="F418" s="1012" t="s">
        <v>401</v>
      </c>
      <c r="G418" s="1012" t="s">
        <v>2694</v>
      </c>
      <c r="H418" s="971"/>
      <c r="I418" s="974"/>
      <c r="J418" s="974"/>
      <c r="K418" s="974"/>
      <c r="L418" s="153" t="str">
        <f t="shared" si="18"/>
        <v>6539</v>
      </c>
      <c r="M418" s="154" t="str">
        <f t="shared" si="19"/>
        <v>ASSURANCE GROUPE</v>
      </c>
      <c r="N418" s="155">
        <f>+IF(OR($Q418=Parametres!$G$2,$Q418=Parametres!$G$3),I418,C418)</f>
        <v>3193.98</v>
      </c>
      <c r="O418" s="155">
        <f>+IF(OR($Q418=Parametres!$G$2,$Q418=Parametres!$G$3),J418,D418)</f>
        <v>532.33000000000004</v>
      </c>
      <c r="P418" s="155">
        <f>+IF(OR($Q418=Parametres!$G$2,$Q418=Parametres!$G$3),K418,E418)</f>
        <v>3726.31</v>
      </c>
      <c r="Q418" s="154" t="str">
        <f t="shared" ref="Q418:S433" si="30">+F418</f>
        <v>7-Dépenses</v>
      </c>
      <c r="R418" s="153" t="str">
        <f t="shared" si="30"/>
        <v>6139</v>
      </c>
      <c r="S418" s="154">
        <f t="shared" si="30"/>
        <v>0</v>
      </c>
      <c r="T418" s="156" t="str">
        <f>+VLOOKUP($L418,Data_Validation!$A:$D,1,0)</f>
        <v>6539</v>
      </c>
      <c r="U418" s="156" t="str">
        <f>+VLOOKUP($L418,Data_Validation!$A:$D,3,0)</f>
        <v>Carrosserie</v>
      </c>
      <c r="V418" s="156" t="str">
        <f>+VLOOKUP($L418,Data_Validation!$A:$D,4,0)</f>
        <v>Bénéfices marginaux</v>
      </c>
      <c r="W418" s="156" t="str">
        <f>+VLOOKUP($L418,Data_Validation!$A:$E,5,0)</f>
        <v>$</v>
      </c>
      <c r="X418" s="156">
        <f>+VLOOKUP($L418,Data_Validation!$A:$F,6,0)</f>
        <v>0</v>
      </c>
    </row>
    <row r="419" spans="1:24" ht="15.75" hidden="1" customHeight="1">
      <c r="A419" s="1012" t="s">
        <v>934</v>
      </c>
      <c r="B419" s="1012" t="s">
        <v>2560</v>
      </c>
      <c r="C419" s="1014">
        <v>210</v>
      </c>
      <c r="D419" s="1014">
        <v>35</v>
      </c>
      <c r="E419" s="1014">
        <v>245</v>
      </c>
      <c r="F419" s="1012" t="s">
        <v>401</v>
      </c>
      <c r="G419" s="1012" t="s">
        <v>2561</v>
      </c>
      <c r="H419" s="971"/>
      <c r="I419" s="974"/>
      <c r="J419" s="974"/>
      <c r="K419" s="974"/>
      <c r="L419" s="153" t="str">
        <f t="shared" si="18"/>
        <v>6544</v>
      </c>
      <c r="M419" s="154" t="str">
        <f t="shared" si="19"/>
        <v>FORMATION</v>
      </c>
      <c r="N419" s="155">
        <f>+IF(OR($Q419=Parametres!$G$2,$Q419=Parametres!$G$3),I419,C419)</f>
        <v>210</v>
      </c>
      <c r="O419" s="155">
        <f>+IF(OR($Q419=Parametres!$G$2,$Q419=Parametres!$G$3),J419,D419)</f>
        <v>35</v>
      </c>
      <c r="P419" s="155">
        <f>+IF(OR($Q419=Parametres!$G$2,$Q419=Parametres!$G$3),K419,E419)</f>
        <v>245</v>
      </c>
      <c r="Q419" s="154" t="str">
        <f t="shared" si="30"/>
        <v>7-Dépenses</v>
      </c>
      <c r="R419" s="153" t="str">
        <f t="shared" si="30"/>
        <v>6144</v>
      </c>
      <c r="S419" s="154">
        <f t="shared" si="30"/>
        <v>0</v>
      </c>
      <c r="T419" s="156" t="str">
        <f>+VLOOKUP($L419,Data_Validation!$A:$D,1,0)</f>
        <v>6544</v>
      </c>
      <c r="U419" s="156" t="str">
        <f>+VLOOKUP($L419,Data_Validation!$A:$D,3,0)</f>
        <v>Carrosserie</v>
      </c>
      <c r="V419" s="156" t="str">
        <f>+VLOOKUP($L419,Data_Validation!$A:$D,4,0)</f>
        <v>Formation</v>
      </c>
      <c r="W419" s="156" t="str">
        <f>+VLOOKUP($L419,Data_Validation!$A:$E,5,0)</f>
        <v>$</v>
      </c>
      <c r="X419" s="156">
        <f>+VLOOKUP($L419,Data_Validation!$A:$F,6,0)</f>
        <v>0</v>
      </c>
    </row>
    <row r="420" spans="1:24" ht="15.75" hidden="1" customHeight="1">
      <c r="A420" s="1012" t="s">
        <v>1186</v>
      </c>
      <c r="B420" s="1012" t="s">
        <v>2654</v>
      </c>
      <c r="C420" s="1014">
        <v>10684.37</v>
      </c>
      <c r="D420" s="1014">
        <v>2096.14</v>
      </c>
      <c r="E420" s="1014">
        <v>12780.51</v>
      </c>
      <c r="F420" s="1012" t="s">
        <v>401</v>
      </c>
      <c r="G420" s="1012" t="s">
        <v>2632</v>
      </c>
      <c r="H420" s="971"/>
      <c r="I420" s="974"/>
      <c r="J420" s="974"/>
      <c r="K420" s="974"/>
      <c r="L420" s="153" t="str">
        <f t="shared" si="18"/>
        <v>6545</v>
      </c>
      <c r="M420" s="154" t="str">
        <f t="shared" si="19"/>
        <v>VEHICULE DE COMPAGNIE - DEPENS</v>
      </c>
      <c r="N420" s="155">
        <f>+IF(OR($Q420=Parametres!$G$2,$Q420=Parametres!$G$3),I420,C420)</f>
        <v>10684.37</v>
      </c>
      <c r="O420" s="155">
        <f>+IF(OR($Q420=Parametres!$G$2,$Q420=Parametres!$G$3),J420,D420)</f>
        <v>2096.14</v>
      </c>
      <c r="P420" s="155">
        <f>+IF(OR($Q420=Parametres!$G$2,$Q420=Parametres!$G$3),K420,E420)</f>
        <v>12780.51</v>
      </c>
      <c r="Q420" s="154" t="str">
        <f t="shared" si="30"/>
        <v>7-Dépenses</v>
      </c>
      <c r="R420" s="153" t="str">
        <f t="shared" si="30"/>
        <v>6145</v>
      </c>
      <c r="S420" s="154">
        <f t="shared" si="30"/>
        <v>0</v>
      </c>
      <c r="T420" s="156" t="str">
        <f>+VLOOKUP($L420,Data_Validation!$A:$D,1,0)</f>
        <v>6545</v>
      </c>
      <c r="U420" s="156" t="str">
        <f>+VLOOKUP($L420,Data_Validation!$A:$D,3,0)</f>
        <v>Carrosserie</v>
      </c>
      <c r="V420" s="156" t="str">
        <f>+VLOOKUP($L420,Data_Validation!$A:$D,4,0)</f>
        <v>Frais véhicules de cie</v>
      </c>
      <c r="W420" s="156" t="str">
        <f>+VLOOKUP($L420,Data_Validation!$A:$E,5,0)</f>
        <v>$</v>
      </c>
      <c r="X420" s="156">
        <f>+VLOOKUP($L420,Data_Validation!$A:$F,6,0)</f>
        <v>0</v>
      </c>
    </row>
    <row r="421" spans="1:24" ht="15" hidden="1" customHeight="1">
      <c r="A421" s="1012" t="s">
        <v>1180</v>
      </c>
      <c r="B421" s="1012" t="s">
        <v>2580</v>
      </c>
      <c r="C421" s="1014">
        <v>175.35</v>
      </c>
      <c r="D421" s="1014">
        <v>28.54</v>
      </c>
      <c r="E421" s="1014">
        <v>203.89</v>
      </c>
      <c r="F421" s="1012" t="s">
        <v>401</v>
      </c>
      <c r="G421" s="1012" t="s">
        <v>2581</v>
      </c>
      <c r="H421" s="971"/>
      <c r="I421" s="974"/>
      <c r="J421" s="974"/>
      <c r="K421" s="974"/>
      <c r="L421" s="153" t="str">
        <f t="shared" si="18"/>
        <v>6547</v>
      </c>
      <c r="M421" s="154" t="str">
        <f t="shared" si="19"/>
        <v>FRET/EXPRESS/TRANS. PAR CAMION</v>
      </c>
      <c r="N421" s="155">
        <f>+IF(OR($Q421=Parametres!$G$2,$Q421=Parametres!$G$3),I421,C421)</f>
        <v>175.35</v>
      </c>
      <c r="O421" s="155">
        <f>+IF(OR($Q421=Parametres!$G$2,$Q421=Parametres!$G$3),J421,D421)</f>
        <v>28.54</v>
      </c>
      <c r="P421" s="155">
        <f>+IF(OR($Q421=Parametres!$G$2,$Q421=Parametres!$G$3),K421,E421)</f>
        <v>203.89</v>
      </c>
      <c r="Q421" s="154" t="str">
        <f t="shared" si="30"/>
        <v>7-Dépenses</v>
      </c>
      <c r="R421" s="153" t="str">
        <f t="shared" si="30"/>
        <v>6147</v>
      </c>
      <c r="S421" s="154">
        <f t="shared" si="30"/>
        <v>0</v>
      </c>
      <c r="T421" s="156" t="str">
        <f>+VLOOKUP($L421,Data_Validation!$A:$D,1,0)</f>
        <v>6547</v>
      </c>
      <c r="U421" s="156" t="str">
        <f>+VLOOKUP($L421,Data_Validation!$A:$D,3,0)</f>
        <v>Carrosserie</v>
      </c>
      <c r="V421" s="156" t="str">
        <f>+VLOOKUP($L421,Data_Validation!$A:$D,4,0)</f>
        <v>Frais postaux</v>
      </c>
      <c r="W421" s="156" t="str">
        <f>+VLOOKUP($L421,Data_Validation!$A:$E,5,0)</f>
        <v>$</v>
      </c>
      <c r="X421" s="156">
        <f>+VLOOKUP($L421,Data_Validation!$A:$F,6,0)</f>
        <v>0</v>
      </c>
    </row>
    <row r="422" spans="1:24" ht="15" hidden="1" customHeight="1">
      <c r="A422" s="1012" t="s">
        <v>1286</v>
      </c>
      <c r="B422" s="1012" t="s">
        <v>2701</v>
      </c>
      <c r="C422" s="1014">
        <v>8440.14</v>
      </c>
      <c r="D422" s="1014">
        <v>975.78</v>
      </c>
      <c r="E422" s="1014">
        <v>9415.92</v>
      </c>
      <c r="F422" s="1012" t="s">
        <v>401</v>
      </c>
      <c r="G422" s="1012" t="s">
        <v>2702</v>
      </c>
      <c r="H422" s="971"/>
      <c r="I422" s="974"/>
      <c r="J422" s="974"/>
      <c r="K422" s="974"/>
      <c r="L422" s="153" t="str">
        <f t="shared" si="18"/>
        <v>6551</v>
      </c>
      <c r="M422" s="154" t="str">
        <f t="shared" si="19"/>
        <v>DEP. DU TRAITEMENT DES DONNEES</v>
      </c>
      <c r="N422" s="155">
        <f>+IF(OR($Q422=Parametres!$G$2,$Q422=Parametres!$G$3),I422,C422)</f>
        <v>8440.14</v>
      </c>
      <c r="O422" s="155">
        <f>+IF(OR($Q422=Parametres!$G$2,$Q422=Parametres!$G$3),J422,D422)</f>
        <v>975.78</v>
      </c>
      <c r="P422" s="155">
        <f>+IF(OR($Q422=Parametres!$G$2,$Q422=Parametres!$G$3),K422,E422)</f>
        <v>9415.92</v>
      </c>
      <c r="Q422" s="154" t="str">
        <f t="shared" si="30"/>
        <v>7-Dépenses</v>
      </c>
      <c r="R422" s="153" t="str">
        <f t="shared" si="30"/>
        <v>6151</v>
      </c>
      <c r="S422" s="154">
        <f t="shared" si="30"/>
        <v>0</v>
      </c>
      <c r="T422" s="156" t="str">
        <f>+VLOOKUP($L422,Data_Validation!$A:$D,1,0)</f>
        <v>6551</v>
      </c>
      <c r="U422" s="156" t="str">
        <f>+VLOOKUP($L422,Data_Validation!$A:$D,3,0)</f>
        <v>Carrosserie</v>
      </c>
      <c r="V422" s="156" t="str">
        <f>+VLOOKUP($L422,Data_Validation!$A:$D,4,0)</f>
        <v>Informatique</v>
      </c>
      <c r="W422" s="156" t="str">
        <f>+VLOOKUP($L422,Data_Validation!$A:$E,5,0)</f>
        <v>$</v>
      </c>
      <c r="X422" s="156">
        <f>+VLOOKUP($L422,Data_Validation!$A:$F,6,0)</f>
        <v>0</v>
      </c>
    </row>
    <row r="423" spans="1:24" ht="15" hidden="1" customHeight="1">
      <c r="A423" s="1012" t="s">
        <v>1206</v>
      </c>
      <c r="B423" s="1012" t="s">
        <v>2587</v>
      </c>
      <c r="C423" s="1014">
        <v>777</v>
      </c>
      <c r="D423" s="1014">
        <v>129.5</v>
      </c>
      <c r="E423" s="1014">
        <v>906.5</v>
      </c>
      <c r="F423" s="1012" t="s">
        <v>401</v>
      </c>
      <c r="G423" s="1012" t="s">
        <v>2588</v>
      </c>
      <c r="H423" s="971"/>
      <c r="I423" s="974"/>
      <c r="J423" s="974"/>
      <c r="K423" s="974"/>
      <c r="L423" s="153" t="str">
        <f t="shared" si="18"/>
        <v>6552</v>
      </c>
      <c r="M423" s="154" t="str">
        <f t="shared" si="19"/>
        <v>PAPETERIE</v>
      </c>
      <c r="N423" s="155">
        <f>+IF(OR($Q423=Parametres!$G$2,$Q423=Parametres!$G$3),I423,C423)</f>
        <v>777</v>
      </c>
      <c r="O423" s="155">
        <f>+IF(OR($Q423=Parametres!$G$2,$Q423=Parametres!$G$3),J423,D423)</f>
        <v>129.5</v>
      </c>
      <c r="P423" s="155">
        <f>+IF(OR($Q423=Parametres!$G$2,$Q423=Parametres!$G$3),K423,E423)</f>
        <v>906.5</v>
      </c>
      <c r="Q423" s="154" t="str">
        <f t="shared" si="30"/>
        <v>7-Dépenses</v>
      </c>
      <c r="R423" s="153" t="str">
        <f t="shared" si="30"/>
        <v>6152</v>
      </c>
      <c r="S423" s="154">
        <f t="shared" si="30"/>
        <v>0</v>
      </c>
      <c r="T423" s="156" t="str">
        <f>+VLOOKUP($L423,Data_Validation!$A:$D,1,0)</f>
        <v>6552</v>
      </c>
      <c r="U423" s="156" t="str">
        <f>+VLOOKUP($L423,Data_Validation!$A:$D,3,0)</f>
        <v>Carrosserie</v>
      </c>
      <c r="V423" s="156" t="str">
        <f>+VLOOKUP($L423,Data_Validation!$A:$D,4,0)</f>
        <v>Papeterie</v>
      </c>
      <c r="W423" s="156" t="str">
        <f>+VLOOKUP($L423,Data_Validation!$A:$E,5,0)</f>
        <v>$</v>
      </c>
      <c r="X423" s="156">
        <f>+VLOOKUP($L423,Data_Validation!$A:$F,6,0)</f>
        <v>0</v>
      </c>
    </row>
    <row r="424" spans="1:24" ht="15" hidden="1" customHeight="1">
      <c r="A424" s="1012" t="s">
        <v>1154</v>
      </c>
      <c r="B424" s="1012" t="s">
        <v>2591</v>
      </c>
      <c r="C424" s="1014">
        <v>749</v>
      </c>
      <c r="D424" s="1014">
        <v>129.12</v>
      </c>
      <c r="E424" s="1014">
        <v>878.12</v>
      </c>
      <c r="F424" s="1012" t="s">
        <v>401</v>
      </c>
      <c r="G424" s="1012" t="s">
        <v>2592</v>
      </c>
      <c r="H424" s="971"/>
      <c r="I424" s="974"/>
      <c r="J424" s="974"/>
      <c r="K424" s="974"/>
      <c r="L424" s="153" t="str">
        <f t="shared" si="18"/>
        <v>6553</v>
      </c>
      <c r="M424" s="154" t="str">
        <f t="shared" si="19"/>
        <v>TELEPHONE ET TELEX</v>
      </c>
      <c r="N424" s="155">
        <f>+IF(OR($Q424=Parametres!$G$2,$Q424=Parametres!$G$3),I424,C424)</f>
        <v>749</v>
      </c>
      <c r="O424" s="155">
        <f>+IF(OR($Q424=Parametres!$G$2,$Q424=Parametres!$G$3),J424,D424)</f>
        <v>129.12</v>
      </c>
      <c r="P424" s="155">
        <f>+IF(OR($Q424=Parametres!$G$2,$Q424=Parametres!$G$3),K424,E424)</f>
        <v>878.12</v>
      </c>
      <c r="Q424" s="154" t="str">
        <f t="shared" si="30"/>
        <v>7-Dépenses</v>
      </c>
      <c r="R424" s="153" t="str">
        <f t="shared" si="30"/>
        <v>6153</v>
      </c>
      <c r="S424" s="154">
        <f t="shared" si="30"/>
        <v>0</v>
      </c>
      <c r="T424" s="156" t="str">
        <f>+VLOOKUP($L424,Data_Validation!$A:$D,1,0)</f>
        <v>6553</v>
      </c>
      <c r="U424" s="156" t="str">
        <f>+VLOOKUP($L424,Data_Validation!$A:$D,3,0)</f>
        <v>Carrosserie</v>
      </c>
      <c r="V424" s="156" t="str">
        <f>+VLOOKUP($L424,Data_Validation!$A:$D,4,0)</f>
        <v>Téléphone</v>
      </c>
      <c r="W424" s="156" t="str">
        <f>+VLOOKUP($L424,Data_Validation!$A:$E,5,0)</f>
        <v>$</v>
      </c>
      <c r="X424" s="156">
        <f>+VLOOKUP($L424,Data_Validation!$A:$F,6,0)</f>
        <v>0</v>
      </c>
    </row>
    <row r="425" spans="1:24" ht="15.75" hidden="1" customHeight="1">
      <c r="A425" s="1012" t="s">
        <v>1237</v>
      </c>
      <c r="B425" s="1012" t="s">
        <v>2636</v>
      </c>
      <c r="C425" s="1014">
        <v>2218.52</v>
      </c>
      <c r="D425" s="1014">
        <v>357</v>
      </c>
      <c r="E425" s="1014">
        <v>2575.52</v>
      </c>
      <c r="F425" s="1012" t="s">
        <v>401</v>
      </c>
      <c r="G425" s="1012" t="s">
        <v>2637</v>
      </c>
      <c r="H425" s="971"/>
      <c r="I425" s="974"/>
      <c r="J425" s="974"/>
      <c r="K425" s="974"/>
      <c r="L425" s="153" t="str">
        <f t="shared" si="18"/>
        <v>6555</v>
      </c>
      <c r="M425" s="154" t="str">
        <f t="shared" si="19"/>
        <v>DEPENSES DIVERS</v>
      </c>
      <c r="N425" s="155">
        <f>+IF(OR($Q425=Parametres!$G$2,$Q425=Parametres!$G$3),I425,C425)</f>
        <v>2218.52</v>
      </c>
      <c r="O425" s="155">
        <f>+IF(OR($Q425=Parametres!$G$2,$Q425=Parametres!$G$3),J425,D425)</f>
        <v>357</v>
      </c>
      <c r="P425" s="155">
        <f>+IF(OR($Q425=Parametres!$G$2,$Q425=Parametres!$G$3),K425,E425)</f>
        <v>2575.52</v>
      </c>
      <c r="Q425" s="154" t="str">
        <f t="shared" si="30"/>
        <v>7-Dépenses</v>
      </c>
      <c r="R425" s="153" t="str">
        <f t="shared" si="30"/>
        <v>6155</v>
      </c>
      <c r="S425" s="154">
        <f t="shared" si="30"/>
        <v>0</v>
      </c>
      <c r="T425" s="156" t="str">
        <f>+VLOOKUP($L425,Data_Validation!$A:$D,1,0)</f>
        <v>6555</v>
      </c>
      <c r="U425" s="156" t="str">
        <f>+VLOOKUP($L425,Data_Validation!$A:$D,3,0)</f>
        <v>Carrosserie</v>
      </c>
      <c r="V425" s="156" t="str">
        <f>+VLOOKUP($L425,Data_Validation!$A:$D,4,0)</f>
        <v>Divers</v>
      </c>
      <c r="W425" s="156" t="str">
        <f>+VLOOKUP($L425,Data_Validation!$A:$E,5,0)</f>
        <v>$</v>
      </c>
      <c r="X425" s="156">
        <f>+VLOOKUP($L425,Data_Validation!$A:$F,6,0)</f>
        <v>0</v>
      </c>
    </row>
    <row r="426" spans="1:24" ht="15" hidden="1" customHeight="1">
      <c r="A426" s="1012" t="s">
        <v>1217</v>
      </c>
      <c r="B426" s="1012" t="s">
        <v>2469</v>
      </c>
      <c r="C426" s="1014">
        <v>2552.34</v>
      </c>
      <c r="D426" s="1014">
        <v>425.39</v>
      </c>
      <c r="E426" s="1014">
        <v>2977.73</v>
      </c>
      <c r="F426" s="1012" t="s">
        <v>401</v>
      </c>
      <c r="G426" s="1012" t="s">
        <v>2470</v>
      </c>
      <c r="H426" s="971"/>
      <c r="I426" s="974"/>
      <c r="J426" s="974"/>
      <c r="K426" s="974"/>
      <c r="L426" s="153" t="str">
        <f t="shared" si="18"/>
        <v>6556</v>
      </c>
      <c r="M426" s="154" t="str">
        <f t="shared" si="19"/>
        <v>FRAIS REPRESENTATION</v>
      </c>
      <c r="N426" s="155">
        <f>+IF(OR($Q426=Parametres!$G$2,$Q426=Parametres!$G$3),I426,C426)</f>
        <v>2552.34</v>
      </c>
      <c r="O426" s="155">
        <f>+IF(OR($Q426=Parametres!$G$2,$Q426=Parametres!$G$3),J426,D426)</f>
        <v>425.39</v>
      </c>
      <c r="P426" s="155">
        <f>+IF(OR($Q426=Parametres!$G$2,$Q426=Parametres!$G$3),K426,E426)</f>
        <v>2977.73</v>
      </c>
      <c r="Q426" s="154" t="str">
        <f t="shared" si="30"/>
        <v>7-Dépenses</v>
      </c>
      <c r="R426" s="153" t="str">
        <f t="shared" si="30"/>
        <v>6156</v>
      </c>
      <c r="S426" s="154">
        <f t="shared" si="30"/>
        <v>0</v>
      </c>
      <c r="T426" s="156" t="str">
        <f>+VLOOKUP($L426,Data_Validation!$A:$D,1,0)</f>
        <v>6556</v>
      </c>
      <c r="U426" s="156" t="str">
        <f>+VLOOKUP($L426,Data_Validation!$A:$D,3,0)</f>
        <v>Carrosserie</v>
      </c>
      <c r="V426" s="156" t="str">
        <f>+VLOOKUP($L426,Data_Validation!$A:$D,4,0)</f>
        <v>Frais de déplacement</v>
      </c>
      <c r="W426" s="156" t="str">
        <f>+VLOOKUP($L426,Data_Validation!$A:$E,5,0)</f>
        <v>$</v>
      </c>
      <c r="X426" s="156">
        <f>+VLOOKUP($L426,Data_Validation!$A:$F,6,0)</f>
        <v>0</v>
      </c>
    </row>
    <row r="427" spans="1:24" ht="15" hidden="1" customHeight="1">
      <c r="A427" s="1012" t="s">
        <v>1308</v>
      </c>
      <c r="B427" s="1012" t="s">
        <v>2661</v>
      </c>
      <c r="C427" s="1014">
        <v>6259.83</v>
      </c>
      <c r="D427" s="1014">
        <v>966.81</v>
      </c>
      <c r="E427" s="1014">
        <v>7226.64</v>
      </c>
      <c r="F427" s="1012" t="s">
        <v>401</v>
      </c>
      <c r="G427" s="1012" t="s">
        <v>2662</v>
      </c>
      <c r="H427" s="971"/>
      <c r="I427" s="974"/>
      <c r="J427" s="974"/>
      <c r="K427" s="974"/>
      <c r="L427" s="153" t="str">
        <f t="shared" si="18"/>
        <v>6559</v>
      </c>
      <c r="M427" s="154" t="str">
        <f t="shared" si="19"/>
        <v>SERVICE EXTERIEUR</v>
      </c>
      <c r="N427" s="155">
        <f>+IF(OR($Q427=Parametres!$G$2,$Q427=Parametres!$G$3),I427,C427)</f>
        <v>6259.83</v>
      </c>
      <c r="O427" s="155">
        <f>+IF(OR($Q427=Parametres!$G$2,$Q427=Parametres!$G$3),J427,D427)</f>
        <v>966.81</v>
      </c>
      <c r="P427" s="155">
        <f>+IF(OR($Q427=Parametres!$G$2,$Q427=Parametres!$G$3),K427,E427)</f>
        <v>7226.64</v>
      </c>
      <c r="Q427" s="154" t="str">
        <f t="shared" si="30"/>
        <v>7-Dépenses</v>
      </c>
      <c r="R427" s="153" t="str">
        <f t="shared" si="30"/>
        <v>6159</v>
      </c>
      <c r="S427" s="154">
        <f t="shared" si="30"/>
        <v>0</v>
      </c>
      <c r="T427" s="156" t="str">
        <f>+VLOOKUP($L427,Data_Validation!$A:$D,1,0)</f>
        <v>6559</v>
      </c>
      <c r="U427" s="156" t="str">
        <f>+VLOOKUP($L427,Data_Validation!$A:$D,3,0)</f>
        <v>Carrosserie</v>
      </c>
      <c r="V427" s="156" t="str">
        <f>+VLOOKUP($L427,Data_Validation!$A:$D,4,0)</f>
        <v>Services extérieurs</v>
      </c>
      <c r="W427" s="156" t="str">
        <f>+VLOOKUP($L427,Data_Validation!$A:$E,5,0)</f>
        <v>$</v>
      </c>
      <c r="X427" s="156">
        <f>+VLOOKUP($L427,Data_Validation!$A:$F,6,0)</f>
        <v>0</v>
      </c>
    </row>
    <row r="428" spans="1:24" ht="15" hidden="1" customHeight="1">
      <c r="A428" s="1012" t="s">
        <v>1333</v>
      </c>
      <c r="B428" s="1012" t="s">
        <v>2652</v>
      </c>
      <c r="C428" s="1014">
        <v>3780</v>
      </c>
      <c r="D428" s="1014">
        <v>648.34</v>
      </c>
      <c r="E428" s="1014">
        <v>4428.34</v>
      </c>
      <c r="F428" s="1012" t="s">
        <v>401</v>
      </c>
      <c r="G428" s="1012" t="s">
        <v>2653</v>
      </c>
      <c r="H428" s="971"/>
      <c r="I428" s="974"/>
      <c r="J428" s="974"/>
      <c r="K428" s="974"/>
      <c r="L428" s="153" t="str">
        <f t="shared" si="18"/>
        <v>6561</v>
      </c>
      <c r="M428" s="154" t="str">
        <f t="shared" si="19"/>
        <v>DEPRECIATION EQUIP. &amp; FIXTURES</v>
      </c>
      <c r="N428" s="155">
        <f>+IF(OR($Q428=Parametres!$G$2,$Q428=Parametres!$G$3),I428,C428)</f>
        <v>3780</v>
      </c>
      <c r="O428" s="155">
        <f>+IF(OR($Q428=Parametres!$G$2,$Q428=Parametres!$G$3),J428,D428)</f>
        <v>648.34</v>
      </c>
      <c r="P428" s="155">
        <f>+IF(OR($Q428=Parametres!$G$2,$Q428=Parametres!$G$3),K428,E428)</f>
        <v>4428.34</v>
      </c>
      <c r="Q428" s="154" t="str">
        <f t="shared" si="30"/>
        <v>7-Dépenses</v>
      </c>
      <c r="R428" s="153" t="str">
        <f t="shared" si="30"/>
        <v>6161</v>
      </c>
      <c r="S428" s="154">
        <f t="shared" si="30"/>
        <v>0</v>
      </c>
      <c r="T428" s="156" t="str">
        <f>+VLOOKUP($L428,Data_Validation!$A:$D,1,0)</f>
        <v>6561</v>
      </c>
      <c r="U428" s="156" t="str">
        <f>+VLOOKUP($L428,Data_Validation!$A:$D,3,0)</f>
        <v>Carrosserie</v>
      </c>
      <c r="V428" s="156" t="str">
        <f>+VLOOKUP($L428,Data_Validation!$A:$D,4,0)</f>
        <v>Amortissement</v>
      </c>
      <c r="W428" s="156" t="str">
        <f>+VLOOKUP($L428,Data_Validation!$A:$E,5,0)</f>
        <v>$</v>
      </c>
      <c r="X428" s="156">
        <f>+VLOOKUP($L428,Data_Validation!$A:$F,6,0)</f>
        <v>0</v>
      </c>
    </row>
    <row r="429" spans="1:24" ht="15" hidden="1" customHeight="1">
      <c r="A429" s="1012" t="s">
        <v>936</v>
      </c>
      <c r="B429" s="1012" t="s">
        <v>2471</v>
      </c>
      <c r="C429" s="1014">
        <v>168</v>
      </c>
      <c r="D429" s="1014">
        <v>28</v>
      </c>
      <c r="E429" s="1014">
        <v>196</v>
      </c>
      <c r="F429" s="1012" t="s">
        <v>401</v>
      </c>
      <c r="G429" s="1012" t="s">
        <v>2463</v>
      </c>
      <c r="H429" s="971"/>
      <c r="I429" s="974"/>
      <c r="J429" s="974"/>
      <c r="K429" s="974"/>
      <c r="L429" s="153" t="str">
        <f t="shared" si="18"/>
        <v>6562</v>
      </c>
      <c r="M429" s="154" t="str">
        <f t="shared" si="19"/>
        <v>LOCATION D'EQUIPEMENTS</v>
      </c>
      <c r="N429" s="155">
        <f>+IF(OR($Q429=Parametres!$G$2,$Q429=Parametres!$G$3),I429,C429)</f>
        <v>168</v>
      </c>
      <c r="O429" s="155">
        <f>+IF(OR($Q429=Parametres!$G$2,$Q429=Parametres!$G$3),J429,D429)</f>
        <v>28</v>
      </c>
      <c r="P429" s="155">
        <f>+IF(OR($Q429=Parametres!$G$2,$Q429=Parametres!$G$3),K429,E429)</f>
        <v>196</v>
      </c>
      <c r="Q429" s="154" t="str">
        <f t="shared" si="30"/>
        <v>7-Dépenses</v>
      </c>
      <c r="R429" s="153" t="str">
        <f t="shared" si="30"/>
        <v>6162</v>
      </c>
      <c r="S429" s="154">
        <f t="shared" si="30"/>
        <v>0</v>
      </c>
      <c r="T429" s="156" t="str">
        <f>+VLOOKUP($L429,Data_Validation!$A:$D,1,0)</f>
        <v>6562</v>
      </c>
      <c r="U429" s="156" t="str">
        <f>+VLOOKUP($L429,Data_Validation!$A:$D,3,0)</f>
        <v>Carrosserie</v>
      </c>
      <c r="V429" s="156" t="str">
        <f>+VLOOKUP($L429,Data_Validation!$A:$D,4,0)</f>
        <v>Location équipement</v>
      </c>
      <c r="W429" s="156" t="str">
        <f>+VLOOKUP($L429,Data_Validation!$A:$E,5,0)</f>
        <v>$</v>
      </c>
      <c r="X429" s="156">
        <f>+VLOOKUP($L429,Data_Validation!$A:$F,6,0)</f>
        <v>0</v>
      </c>
    </row>
    <row r="430" spans="1:24" ht="15" hidden="1" customHeight="1">
      <c r="A430" s="1012" t="s">
        <v>1244</v>
      </c>
      <c r="B430" s="1012" t="s">
        <v>2603</v>
      </c>
      <c r="C430" s="1014">
        <v>1541.4</v>
      </c>
      <c r="D430" s="1014">
        <v>256.89999999999998</v>
      </c>
      <c r="E430" s="1014">
        <v>1798.3</v>
      </c>
      <c r="F430" s="1012" t="s">
        <v>401</v>
      </c>
      <c r="G430" s="1012" t="s">
        <v>2604</v>
      </c>
      <c r="H430" s="971"/>
      <c r="I430" s="974"/>
      <c r="J430" s="974"/>
      <c r="K430" s="974"/>
      <c r="L430" s="153" t="str">
        <f t="shared" si="18"/>
        <v>6581</v>
      </c>
      <c r="M430" s="154" t="str">
        <f t="shared" si="19"/>
        <v>CHAUFFAGE,ELECTRICITE,EAU-CARROS.</v>
      </c>
      <c r="N430" s="155">
        <f>+IF(OR($Q430=Parametres!$G$2,$Q430=Parametres!$G$3),I430,C430)</f>
        <v>1541.4</v>
      </c>
      <c r="O430" s="155">
        <f>+IF(OR($Q430=Parametres!$G$2,$Q430=Parametres!$G$3),J430,D430)</f>
        <v>256.89999999999998</v>
      </c>
      <c r="P430" s="155">
        <f>+IF(OR($Q430=Parametres!$G$2,$Q430=Parametres!$G$3),K430,E430)</f>
        <v>1798.3</v>
      </c>
      <c r="Q430" s="154" t="str">
        <f t="shared" si="30"/>
        <v>7-Dépenses</v>
      </c>
      <c r="R430" s="153" t="str">
        <f t="shared" si="30"/>
        <v>6181</v>
      </c>
      <c r="S430" s="154">
        <f t="shared" si="30"/>
        <v>0</v>
      </c>
      <c r="T430" s="156" t="str">
        <f>+VLOOKUP($L430,Data_Validation!$A:$D,1,0)</f>
        <v>6581</v>
      </c>
      <c r="U430" s="156" t="str">
        <f>+VLOOKUP($L430,Data_Validation!$A:$D,3,0)</f>
        <v>Carrosserie</v>
      </c>
      <c r="V430" s="156" t="str">
        <f>+VLOOKUP($L430,Data_Validation!$A:$D,4,0)</f>
        <v>Chauffage, éclairage</v>
      </c>
      <c r="W430" s="156" t="str">
        <f>+VLOOKUP($L430,Data_Validation!$A:$E,5,0)</f>
        <v>$</v>
      </c>
      <c r="X430" s="156">
        <f>+VLOOKUP($L430,Data_Validation!$A:$F,6,0)</f>
        <v>0</v>
      </c>
    </row>
    <row r="431" spans="1:24" ht="15.75" hidden="1" customHeight="1">
      <c r="A431" s="1012" t="s">
        <v>1398</v>
      </c>
      <c r="B431" s="1012" t="s">
        <v>2708</v>
      </c>
      <c r="C431" s="1014">
        <v>11169.19</v>
      </c>
      <c r="D431" s="1014">
        <v>2286.65</v>
      </c>
      <c r="E431" s="1014">
        <v>13455.84</v>
      </c>
      <c r="F431" s="1012" t="s">
        <v>401</v>
      </c>
      <c r="G431" s="1012" t="s">
        <v>2709</v>
      </c>
      <c r="H431" s="971"/>
      <c r="I431" s="974"/>
      <c r="J431" s="974"/>
      <c r="K431" s="974"/>
      <c r="L431" s="153" t="str">
        <f t="shared" si="18"/>
        <v>6582</v>
      </c>
      <c r="M431" s="154" t="str">
        <f t="shared" si="19"/>
        <v>LOYER - CARROSSERIE</v>
      </c>
      <c r="N431" s="155">
        <f>+IF(OR($Q431=Parametres!$G$2,$Q431=Parametres!$G$3),I431,C431)</f>
        <v>11169.19</v>
      </c>
      <c r="O431" s="155">
        <f>+IF(OR($Q431=Parametres!$G$2,$Q431=Parametres!$G$3),J431,D431)</f>
        <v>2286.65</v>
      </c>
      <c r="P431" s="155">
        <f>+IF(OR($Q431=Parametres!$G$2,$Q431=Parametres!$G$3),K431,E431)</f>
        <v>13455.84</v>
      </c>
      <c r="Q431" s="154" t="str">
        <f t="shared" si="30"/>
        <v>7-Dépenses</v>
      </c>
      <c r="R431" s="153" t="str">
        <f t="shared" si="30"/>
        <v>6182</v>
      </c>
      <c r="S431" s="154">
        <f t="shared" si="30"/>
        <v>0</v>
      </c>
      <c r="T431" s="156" t="str">
        <f>+VLOOKUP($L431,Data_Validation!$A:$D,1,0)</f>
        <v>6582</v>
      </c>
      <c r="U431" s="156" t="str">
        <f>+VLOOKUP($L431,Data_Validation!$A:$D,3,0)</f>
        <v>Carrosserie</v>
      </c>
      <c r="V431" s="156" t="str">
        <f>+VLOOKUP($L431,Data_Validation!$A:$D,4,0)</f>
        <v>Loyer</v>
      </c>
      <c r="W431" s="156" t="str">
        <f>+VLOOKUP($L431,Data_Validation!$A:$E,5,0)</f>
        <v>$</v>
      </c>
      <c r="X431" s="156">
        <f>+VLOOKUP($L431,Data_Validation!$A:$F,6,0)</f>
        <v>0</v>
      </c>
    </row>
    <row r="432" spans="1:24" ht="15" hidden="1" customHeight="1">
      <c r="A432" s="1012" t="s">
        <v>1255</v>
      </c>
      <c r="B432" s="1012" t="s">
        <v>2593</v>
      </c>
      <c r="C432" s="1014">
        <v>630</v>
      </c>
      <c r="D432" s="1014">
        <v>105</v>
      </c>
      <c r="E432" s="1014">
        <v>735</v>
      </c>
      <c r="F432" s="1012" t="s">
        <v>401</v>
      </c>
      <c r="G432" s="1012" t="s">
        <v>2594</v>
      </c>
      <c r="H432" s="971"/>
      <c r="I432" s="974"/>
      <c r="J432" s="974"/>
      <c r="K432" s="974"/>
      <c r="L432" s="153" t="str">
        <f t="shared" si="18"/>
        <v>6586</v>
      </c>
      <c r="M432" s="154" t="str">
        <f t="shared" si="19"/>
        <v>ASSURANCE BATISSE &amp; AMEL.-CARROS.</v>
      </c>
      <c r="N432" s="155">
        <f>+IF(OR($Q432=Parametres!$G$2,$Q432=Parametres!$G$3),I432,C432)</f>
        <v>630</v>
      </c>
      <c r="O432" s="155">
        <f>+IF(OR($Q432=Parametres!$G$2,$Q432=Parametres!$G$3),J432,D432)</f>
        <v>105</v>
      </c>
      <c r="P432" s="155">
        <f>+IF(OR($Q432=Parametres!$G$2,$Q432=Parametres!$G$3),K432,E432)</f>
        <v>735</v>
      </c>
      <c r="Q432" s="154" t="str">
        <f t="shared" si="30"/>
        <v>7-Dépenses</v>
      </c>
      <c r="R432" s="153" t="str">
        <f t="shared" si="30"/>
        <v>6186</v>
      </c>
      <c r="S432" s="154">
        <f t="shared" si="30"/>
        <v>0</v>
      </c>
      <c r="T432" s="156" t="str">
        <f>+VLOOKUP($L432,Data_Validation!$A:$D,1,0)</f>
        <v>6586</v>
      </c>
      <c r="U432" s="156" t="str">
        <f>+VLOOKUP($L432,Data_Validation!$A:$D,3,0)</f>
        <v>Carrosserie</v>
      </c>
      <c r="V432" s="156" t="str">
        <f>+VLOOKUP($L432,Data_Validation!$A:$D,4,0)</f>
        <v>Assurances</v>
      </c>
      <c r="W432" s="156" t="str">
        <f>+VLOOKUP($L432,Data_Validation!$A:$E,5,0)</f>
        <v>$</v>
      </c>
      <c r="X432" s="156">
        <f>+VLOOKUP($L432,Data_Validation!$A:$F,6,0)</f>
        <v>0</v>
      </c>
    </row>
    <row r="433" spans="1:24" ht="15" hidden="1" customHeight="1">
      <c r="A433" s="1012" t="s">
        <v>1264</v>
      </c>
      <c r="B433" s="1012" t="s">
        <v>2613</v>
      </c>
      <c r="C433" s="1014">
        <v>1974</v>
      </c>
      <c r="D433" s="1014">
        <v>329</v>
      </c>
      <c r="E433" s="1014">
        <v>2303</v>
      </c>
      <c r="F433" s="1012" t="s">
        <v>401</v>
      </c>
      <c r="G433" s="1012" t="s">
        <v>2614</v>
      </c>
      <c r="H433" s="971"/>
      <c r="I433" s="974"/>
      <c r="J433" s="974"/>
      <c r="K433" s="974"/>
      <c r="L433" s="153" t="str">
        <f t="shared" si="18"/>
        <v>6587</v>
      </c>
      <c r="M433" s="154" t="str">
        <f t="shared" si="19"/>
        <v>TAXES FONCIERES - CAROSSERIE</v>
      </c>
      <c r="N433" s="155">
        <f>+IF(OR($Q433=Parametres!$G$2,$Q433=Parametres!$G$3),I433,C433)</f>
        <v>1974</v>
      </c>
      <c r="O433" s="155">
        <f>+IF(OR($Q433=Parametres!$G$2,$Q433=Parametres!$G$3),J433,D433)</f>
        <v>329</v>
      </c>
      <c r="P433" s="155">
        <f>+IF(OR($Q433=Parametres!$G$2,$Q433=Parametres!$G$3),K433,E433)</f>
        <v>2303</v>
      </c>
      <c r="Q433" s="154" t="str">
        <f t="shared" si="30"/>
        <v>7-Dépenses</v>
      </c>
      <c r="R433" s="153" t="str">
        <f t="shared" si="30"/>
        <v>6187</v>
      </c>
      <c r="S433" s="154">
        <f t="shared" si="30"/>
        <v>0</v>
      </c>
      <c r="T433" s="156" t="str">
        <f>+VLOOKUP($L433,Data_Validation!$A:$D,1,0)</f>
        <v>6587</v>
      </c>
      <c r="U433" s="156" t="str">
        <f>+VLOOKUP($L433,Data_Validation!$A:$D,3,0)</f>
        <v>Carrosserie</v>
      </c>
      <c r="V433" s="156" t="str">
        <f>+VLOOKUP($L433,Data_Validation!$A:$D,4,0)</f>
        <v>Taxes foncières</v>
      </c>
      <c r="W433" s="156" t="str">
        <f>+VLOOKUP($L433,Data_Validation!$A:$E,5,0)</f>
        <v>$</v>
      </c>
      <c r="X433" s="156">
        <f>+VLOOKUP($L433,Data_Validation!$A:$F,6,0)</f>
        <v>0</v>
      </c>
    </row>
    <row r="434" spans="1:24" ht="15" hidden="1" customHeight="1">
      <c r="A434" s="1012" t="s">
        <v>1225</v>
      </c>
      <c r="B434" s="1012" t="s">
        <v>2596</v>
      </c>
      <c r="C434" s="1014">
        <v>1323</v>
      </c>
      <c r="D434" s="1014">
        <v>220.5</v>
      </c>
      <c r="E434" s="1014">
        <v>1543.5</v>
      </c>
      <c r="F434" s="1012" t="s">
        <v>401</v>
      </c>
      <c r="G434" s="1012" t="s">
        <v>2597</v>
      </c>
      <c r="H434" s="150"/>
      <c r="I434" s="152"/>
      <c r="J434" s="152"/>
      <c r="K434" s="152"/>
      <c r="L434" s="153" t="str">
        <f t="shared" si="18"/>
        <v>6593</v>
      </c>
      <c r="M434" s="154" t="str">
        <f t="shared" si="19"/>
        <v>AUTRES TAXES -CARROSSERIE</v>
      </c>
      <c r="N434" s="155">
        <f>+IF(OR($Q434=Parametres!$G$2,$Q434=Parametres!$G$3),I434,C434)</f>
        <v>1323</v>
      </c>
      <c r="O434" s="155">
        <f>+IF(OR($Q434=Parametres!$G$2,$Q434=Parametres!$G$3),J434,D434)</f>
        <v>220.5</v>
      </c>
      <c r="P434" s="155">
        <f>+IF(OR($Q434=Parametres!$G$2,$Q434=Parametres!$G$3),K434,E434)</f>
        <v>1543.5</v>
      </c>
      <c r="Q434" s="154" t="str">
        <f t="shared" ref="Q434:S449" si="31">+F434</f>
        <v>7-Dépenses</v>
      </c>
      <c r="R434" s="153" t="str">
        <f t="shared" si="31"/>
        <v>6193</v>
      </c>
      <c r="S434" s="154">
        <f t="shared" si="31"/>
        <v>0</v>
      </c>
      <c r="T434" s="156" t="str">
        <f>+VLOOKUP($L434,Data_Validation!$A:$D,1,0)</f>
        <v>6593</v>
      </c>
      <c r="U434" s="156" t="str">
        <f>+VLOOKUP($L434,Data_Validation!$A:$D,3,0)</f>
        <v>Carrosserie</v>
      </c>
      <c r="V434" s="156" t="str">
        <f>+VLOOKUP($L434,Data_Validation!$A:$D,4,0)</f>
        <v>Taxes d`affaires</v>
      </c>
      <c r="W434" s="156" t="str">
        <f>+VLOOKUP($L434,Data_Validation!$A:$E,5,0)</f>
        <v>$</v>
      </c>
      <c r="X434" s="156">
        <f>+VLOOKUP($L434,Data_Validation!$A:$F,6,0)</f>
        <v>0</v>
      </c>
    </row>
    <row r="435" spans="1:24" ht="15.75" hidden="1" customHeight="1">
      <c r="A435" s="1012" t="s">
        <v>1271</v>
      </c>
      <c r="B435" s="1012" t="s">
        <v>2634</v>
      </c>
      <c r="C435" s="1014">
        <v>3370.5</v>
      </c>
      <c r="D435" s="1014">
        <v>561.75</v>
      </c>
      <c r="E435" s="1014">
        <v>3932.25</v>
      </c>
      <c r="F435" s="1012" t="s">
        <v>401</v>
      </c>
      <c r="G435" s="1012" t="s">
        <v>2635</v>
      </c>
      <c r="H435" s="150"/>
      <c r="I435" s="152"/>
      <c r="J435" s="152"/>
      <c r="K435" s="152"/>
      <c r="L435" s="153" t="str">
        <f t="shared" si="18"/>
        <v>6594</v>
      </c>
      <c r="M435" s="154" t="str">
        <f t="shared" si="19"/>
        <v>FRAIS PROFESSIONNEL-CARROS.</v>
      </c>
      <c r="N435" s="155">
        <f>+IF(OR($Q435=Parametres!$G$2,$Q435=Parametres!$G$3),I435,C435)</f>
        <v>3370.5</v>
      </c>
      <c r="O435" s="155">
        <f>+IF(OR($Q435=Parametres!$G$2,$Q435=Parametres!$G$3),J435,D435)</f>
        <v>561.75</v>
      </c>
      <c r="P435" s="155">
        <f>+IF(OR($Q435=Parametres!$G$2,$Q435=Parametres!$G$3),K435,E435)</f>
        <v>3932.25</v>
      </c>
      <c r="Q435" s="154" t="str">
        <f t="shared" si="31"/>
        <v>7-Dépenses</v>
      </c>
      <c r="R435" s="153" t="str">
        <f t="shared" si="31"/>
        <v>6194</v>
      </c>
      <c r="S435" s="154">
        <f t="shared" si="31"/>
        <v>0</v>
      </c>
      <c r="T435" s="156" t="str">
        <f>+VLOOKUP($L435,Data_Validation!$A:$D,1,0)</f>
        <v>6594</v>
      </c>
      <c r="U435" s="156" t="str">
        <f>+VLOOKUP($L435,Data_Validation!$A:$D,3,0)</f>
        <v>Carrosserie</v>
      </c>
      <c r="V435" s="156" t="str">
        <f>+VLOOKUP($L435,Data_Validation!$A:$D,4,0)</f>
        <v>Honoraires</v>
      </c>
      <c r="W435" s="156" t="str">
        <f>+VLOOKUP($L435,Data_Validation!$A:$E,5,0)</f>
        <v>$</v>
      </c>
      <c r="X435" s="156">
        <f>+VLOOKUP($L435,Data_Validation!$A:$F,6,0)</f>
        <v>0</v>
      </c>
    </row>
    <row r="436" spans="1:24" ht="15" hidden="1" customHeight="1">
      <c r="A436" s="1012" t="s">
        <v>399</v>
      </c>
      <c r="B436" s="1012" t="s">
        <v>2472</v>
      </c>
      <c r="C436" s="1014">
        <v>10561.14</v>
      </c>
      <c r="D436" s="1014">
        <v>0</v>
      </c>
      <c r="E436" s="1014">
        <v>10561.14</v>
      </c>
      <c r="F436" s="1012" t="s">
        <v>401</v>
      </c>
      <c r="G436" s="1012" t="s">
        <v>2467</v>
      </c>
      <c r="H436" s="150"/>
      <c r="I436" s="152"/>
      <c r="J436" s="152"/>
      <c r="K436" s="152"/>
      <c r="L436" s="153" t="str">
        <f t="shared" si="18"/>
        <v>6703</v>
      </c>
      <c r="M436" s="154" t="str">
        <f t="shared" si="19"/>
        <v>RELAT. A LA CLIENTELE &amp; AJUST.</v>
      </c>
      <c r="N436" s="155">
        <f>+IF(OR($Q436=Parametres!$G$2,$Q436=Parametres!$G$3),I436,C436)</f>
        <v>10561.14</v>
      </c>
      <c r="O436" s="155">
        <f>+IF(OR($Q436=Parametres!$G$2,$Q436=Parametres!$G$3),J436,D436)</f>
        <v>0</v>
      </c>
      <c r="P436" s="155">
        <f>+IF(OR($Q436=Parametres!$G$2,$Q436=Parametres!$G$3),K436,E436)</f>
        <v>10561.14</v>
      </c>
      <c r="Q436" s="154" t="str">
        <f t="shared" si="31"/>
        <v>7-Dépenses</v>
      </c>
      <c r="R436" s="153" t="str">
        <f t="shared" si="31"/>
        <v>6112</v>
      </c>
      <c r="S436" s="154">
        <f t="shared" si="31"/>
        <v>0</v>
      </c>
      <c r="T436" s="156" t="str">
        <f>+VLOOKUP($L436,Data_Validation!$A:$D,1,0)</f>
        <v>6703</v>
      </c>
      <c r="U436" s="156" t="str">
        <f>+VLOOKUP($L436,Data_Validation!$A:$D,3,0)</f>
        <v>Pièces</v>
      </c>
      <c r="V436" s="156" t="str">
        <f>+VLOOKUP($L436,Data_Validation!$A:$D,4,0)</f>
        <v>Service gratuit 2</v>
      </c>
      <c r="W436" s="156" t="str">
        <f>+VLOOKUP($L436,Data_Validation!$A:$E,5,0)</f>
        <v>$</v>
      </c>
      <c r="X436" s="156">
        <f>+VLOOKUP($L436,Data_Validation!$A:$F,6,0)</f>
        <v>0</v>
      </c>
    </row>
    <row r="437" spans="1:24" ht="15" hidden="1" customHeight="1">
      <c r="A437" s="1012" t="s">
        <v>1374</v>
      </c>
      <c r="B437" s="1012" t="s">
        <v>2675</v>
      </c>
      <c r="C437" s="1014">
        <v>43232.54</v>
      </c>
      <c r="D437" s="1014">
        <v>6556.06</v>
      </c>
      <c r="E437" s="1014">
        <v>49788.6</v>
      </c>
      <c r="F437" s="1012" t="s">
        <v>401</v>
      </c>
      <c r="G437" s="1012" t="s">
        <v>2113</v>
      </c>
      <c r="H437" s="150"/>
      <c r="I437" s="152"/>
      <c r="J437" s="152"/>
      <c r="K437" s="152"/>
      <c r="L437" s="153" t="str">
        <f t="shared" si="18"/>
        <v>6714</v>
      </c>
      <c r="M437" s="154" t="str">
        <f t="shared" si="19"/>
        <v>PUBLICITE</v>
      </c>
      <c r="N437" s="155">
        <f>+IF(OR($Q437=Parametres!$G$2,$Q437=Parametres!$G$3),I437,C437)</f>
        <v>43232.54</v>
      </c>
      <c r="O437" s="155">
        <f>+IF(OR($Q437=Parametres!$G$2,$Q437=Parametres!$G$3),J437,D437)</f>
        <v>6556.06</v>
      </c>
      <c r="P437" s="155">
        <f>+IF(OR($Q437=Parametres!$G$2,$Q437=Parametres!$G$3),K437,E437)</f>
        <v>49788.6</v>
      </c>
      <c r="Q437" s="154" t="str">
        <f t="shared" si="31"/>
        <v>7-Dépenses</v>
      </c>
      <c r="R437" s="153" t="str">
        <f t="shared" si="31"/>
        <v>6114</v>
      </c>
      <c r="S437" s="154">
        <f t="shared" si="31"/>
        <v>0</v>
      </c>
      <c r="T437" s="156" t="str">
        <f>+VLOOKUP($L437,Data_Validation!$A:$D,1,0)</f>
        <v>6714</v>
      </c>
      <c r="U437" s="156" t="str">
        <f>+VLOOKUP($L437,Data_Validation!$A:$D,3,0)</f>
        <v>Pièces</v>
      </c>
      <c r="V437" s="156" t="str">
        <f>+VLOOKUP($L437,Data_Validation!$A:$D,4,0)</f>
        <v>Publicité 2</v>
      </c>
      <c r="W437" s="156" t="str">
        <f>+VLOOKUP($L437,Data_Validation!$A:$E,5,0)</f>
        <v>$</v>
      </c>
      <c r="X437" s="156">
        <f>+VLOOKUP($L437,Data_Validation!$A:$F,6,0)</f>
        <v>0</v>
      </c>
    </row>
    <row r="438" spans="1:24" ht="15" hidden="1" customHeight="1">
      <c r="A438" s="1012" t="s">
        <v>1357</v>
      </c>
      <c r="B438" s="1012" t="s">
        <v>2715</v>
      </c>
      <c r="C438" s="1014">
        <v>14981.08</v>
      </c>
      <c r="D438" s="1014">
        <v>1622.17</v>
      </c>
      <c r="E438" s="1014">
        <v>16603.25</v>
      </c>
      <c r="F438" s="1012" t="s">
        <v>401</v>
      </c>
      <c r="G438" s="1012" t="s">
        <v>2648</v>
      </c>
      <c r="H438" s="150"/>
      <c r="I438" s="152"/>
      <c r="J438" s="152"/>
      <c r="K438" s="152"/>
      <c r="L438" s="153" t="str">
        <f t="shared" si="18"/>
        <v>6721</v>
      </c>
      <c r="M438" s="154" t="str">
        <f t="shared" si="19"/>
        <v>SALAIRES - PROPRIEATIRES</v>
      </c>
      <c r="N438" s="155">
        <f>+IF(OR($Q438=Parametres!$G$2,$Q438=Parametres!$G$3),I438,C438)</f>
        <v>14981.08</v>
      </c>
      <c r="O438" s="577">
        <f>+IF(OR($Q438=Parametres!$G$2,$Q438=Parametres!$G$3),J438,D438)</f>
        <v>1622.17</v>
      </c>
      <c r="P438" s="155">
        <f>+IF(OR($Q438=Parametres!$G$2,$Q438=Parametres!$G$3),K438,E438)</f>
        <v>16603.25</v>
      </c>
      <c r="Q438" s="154" t="str">
        <f t="shared" si="31"/>
        <v>7-Dépenses</v>
      </c>
      <c r="R438" s="153" t="str">
        <f t="shared" si="31"/>
        <v>6121</v>
      </c>
      <c r="S438" s="154">
        <f t="shared" si="31"/>
        <v>0</v>
      </c>
      <c r="T438" s="156" t="str">
        <f>+VLOOKUP($L438,Data_Validation!$A:$D,1,0)</f>
        <v>6721</v>
      </c>
      <c r="U438" s="156" t="str">
        <f>+VLOOKUP($L438,Data_Validation!$A:$D,3,0)</f>
        <v>Pièces</v>
      </c>
      <c r="V438" s="156" t="str">
        <f>+VLOOKUP($L438,Data_Validation!$A:$D,4,0)</f>
        <v>Salaires propriétaire</v>
      </c>
      <c r="W438" s="156" t="str">
        <f>+VLOOKUP($L438,Data_Validation!$A:$E,5,0)</f>
        <v>$</v>
      </c>
      <c r="X438" s="156">
        <f>+VLOOKUP($L438,Data_Validation!$A:$F,6,0)</f>
        <v>0</v>
      </c>
    </row>
    <row r="439" spans="1:24" ht="15" hidden="1" customHeight="1">
      <c r="A439" s="1012" t="s">
        <v>2624</v>
      </c>
      <c r="B439" s="1012" t="s">
        <v>2765</v>
      </c>
      <c r="C439" s="1014">
        <v>66229.2</v>
      </c>
      <c r="D439" s="1014">
        <v>8309.5499999999993</v>
      </c>
      <c r="E439" s="1014">
        <v>74538.75</v>
      </c>
      <c r="F439" s="1012" t="s">
        <v>401</v>
      </c>
      <c r="G439" s="1012" t="s">
        <v>2626</v>
      </c>
      <c r="H439" s="150"/>
      <c r="I439" s="152"/>
      <c r="J439" s="152"/>
      <c r="K439" s="152"/>
      <c r="L439" s="153" t="str">
        <f t="shared" si="18"/>
        <v>6722</v>
      </c>
      <c r="M439" s="154" t="str">
        <f t="shared" si="19"/>
        <v>SAL SUPERVISION / GERANT</v>
      </c>
      <c r="N439" s="155">
        <f>+IF(OR($Q439=Parametres!$G$2,$Q439=Parametres!$G$3),I439,C439)</f>
        <v>66229.2</v>
      </c>
      <c r="O439" s="155">
        <f>+IF(OR($Q439=Parametres!$G$2,$Q439=Parametres!$G$3),J439,D439)</f>
        <v>8309.5499999999993</v>
      </c>
      <c r="P439" s="155">
        <f>+IF(OR($Q439=Parametres!$G$2,$Q439=Parametres!$G$3),K439,E439)</f>
        <v>74538.75</v>
      </c>
      <c r="Q439" s="154" t="str">
        <f t="shared" si="31"/>
        <v>7-Dépenses</v>
      </c>
      <c r="R439" s="153" t="str">
        <f t="shared" si="31"/>
        <v>6122</v>
      </c>
      <c r="S439" s="154">
        <f t="shared" si="31"/>
        <v>0</v>
      </c>
      <c r="T439" s="156" t="str">
        <f>+VLOOKUP($L439,Data_Validation!$A:$D,1,0)</f>
        <v>6722</v>
      </c>
      <c r="U439" s="156" t="str">
        <f>+VLOOKUP($L439,Data_Validation!$A:$D,3,0)</f>
        <v>Pièces</v>
      </c>
      <c r="V439" s="156" t="str">
        <f>+VLOOKUP($L439,Data_Validation!$A:$D,4,0)</f>
        <v>Salaires cadres</v>
      </c>
      <c r="W439" s="156" t="str">
        <f>+VLOOKUP($L439,Data_Validation!$A:$E,5,0)</f>
        <v>$</v>
      </c>
      <c r="X439" s="156">
        <f>+VLOOKUP($L439,Data_Validation!$A:$F,6,0)</f>
        <v>0</v>
      </c>
    </row>
    <row r="440" spans="1:24" ht="15" hidden="1" customHeight="1">
      <c r="A440" s="1012" t="s">
        <v>1342</v>
      </c>
      <c r="B440" s="1012" t="s">
        <v>2731</v>
      </c>
      <c r="C440" s="1014">
        <v>24471.39</v>
      </c>
      <c r="D440" s="1014">
        <v>4151.07</v>
      </c>
      <c r="E440" s="1014">
        <v>28622.46</v>
      </c>
      <c r="F440" s="1012" t="s">
        <v>401</v>
      </c>
      <c r="G440" s="1012" t="s">
        <v>2679</v>
      </c>
      <c r="H440" s="150"/>
      <c r="I440" s="152"/>
      <c r="J440" s="152"/>
      <c r="K440" s="152"/>
      <c r="L440" s="153" t="str">
        <f t="shared" si="18"/>
        <v>6723</v>
      </c>
      <c r="M440" s="154" t="str">
        <f t="shared" si="19"/>
        <v>SAL. &amp; RENUM. - CLERICAL</v>
      </c>
      <c r="N440" s="155">
        <f>+IF(OR($Q440=Parametres!$G$2,$Q440=Parametres!$G$3),I440,C440)</f>
        <v>24471.39</v>
      </c>
      <c r="O440" s="572">
        <f>+IF(OR($Q440=Parametres!$G$2,$Q440=Parametres!$G$3),J440,D440)</f>
        <v>4151.07</v>
      </c>
      <c r="P440" s="155">
        <f>+IF(OR($Q440=Parametres!$G$2,$Q440=Parametres!$G$3),K440,E440)</f>
        <v>28622.46</v>
      </c>
      <c r="Q440" s="154" t="str">
        <f t="shared" si="31"/>
        <v>7-Dépenses</v>
      </c>
      <c r="R440" s="153" t="str">
        <f t="shared" si="31"/>
        <v>6123</v>
      </c>
      <c r="S440" s="154">
        <f t="shared" si="31"/>
        <v>0</v>
      </c>
      <c r="T440" s="156" t="str">
        <f>+VLOOKUP($L440,Data_Validation!$A:$D,1,0)</f>
        <v>6723</v>
      </c>
      <c r="U440" s="156" t="str">
        <f>+VLOOKUP($L440,Data_Validation!$A:$D,3,0)</f>
        <v>Pièces</v>
      </c>
      <c r="V440" s="156" t="str">
        <f>+VLOOKUP($L440,Data_Validation!$A:$D,4,0)</f>
        <v>Salaires commis</v>
      </c>
      <c r="W440" s="156" t="str">
        <f>+VLOOKUP($L440,Data_Validation!$A:$E,5,0)</f>
        <v>$</v>
      </c>
      <c r="X440" s="156">
        <f>+VLOOKUP($L440,Data_Validation!$A:$F,6,0)</f>
        <v>0</v>
      </c>
    </row>
    <row r="441" spans="1:24" ht="15.75" hidden="1" customHeight="1">
      <c r="A441" s="1012" t="s">
        <v>1249</v>
      </c>
      <c r="B441" s="1012" t="s">
        <v>2800</v>
      </c>
      <c r="C441" s="1014">
        <v>91545.98</v>
      </c>
      <c r="D441" s="1014">
        <v>15813.12</v>
      </c>
      <c r="E441" s="1014">
        <v>107359.1</v>
      </c>
      <c r="F441" s="1012" t="s">
        <v>401</v>
      </c>
      <c r="G441" s="1012" t="s">
        <v>2735</v>
      </c>
      <c r="H441" s="150"/>
      <c r="I441" s="152"/>
      <c r="J441" s="152"/>
      <c r="K441" s="152"/>
      <c r="L441" s="153" t="str">
        <f t="shared" si="18"/>
        <v>6724</v>
      </c>
      <c r="M441" s="154" t="str">
        <f t="shared" si="19"/>
        <v>SALAIRES &amp; RENUM. - AUTRES</v>
      </c>
      <c r="N441" s="155">
        <f>+IF(OR($Q441=Parametres!$G$2,$Q441=Parametres!$G$3),I441,C441)</f>
        <v>91545.98</v>
      </c>
      <c r="O441" s="155">
        <f>+IF(OR($Q441=Parametres!$G$2,$Q441=Parametres!$G$3),J441,D441)</f>
        <v>15813.12</v>
      </c>
      <c r="P441" s="155">
        <f>+IF(OR($Q441=Parametres!$G$2,$Q441=Parametres!$G$3),K441,E441)</f>
        <v>107359.1</v>
      </c>
      <c r="Q441" s="154" t="str">
        <f t="shared" si="31"/>
        <v>7-Dépenses</v>
      </c>
      <c r="R441" s="153" t="str">
        <f t="shared" si="31"/>
        <v>6124</v>
      </c>
      <c r="S441" s="154">
        <f t="shared" si="31"/>
        <v>0</v>
      </c>
      <c r="T441" s="156" t="str">
        <f>+VLOOKUP($L441,Data_Validation!$A:$D,1,0)</f>
        <v>6724</v>
      </c>
      <c r="U441" s="156" t="str">
        <f>+VLOOKUP($L441,Data_Validation!$A:$D,3,0)</f>
        <v>Pièces</v>
      </c>
      <c r="V441" s="156" t="str">
        <f>+VLOOKUP($L441,Data_Validation!$A:$D,4,0)</f>
        <v>Salaires autres</v>
      </c>
      <c r="W441" s="156" t="str">
        <f>+VLOOKUP($L441,Data_Validation!$A:$E,5,0)</f>
        <v>$</v>
      </c>
      <c r="X441" s="156">
        <f>+VLOOKUP($L441,Data_Validation!$A:$F,6,0)</f>
        <v>0</v>
      </c>
    </row>
    <row r="442" spans="1:24" ht="15" hidden="1" customHeight="1">
      <c r="A442" s="1012" t="s">
        <v>1328</v>
      </c>
      <c r="B442" s="1012" t="s">
        <v>2722</v>
      </c>
      <c r="C442" s="1014">
        <v>22996.15</v>
      </c>
      <c r="D442" s="1014">
        <v>3548.82</v>
      </c>
      <c r="E442" s="1014">
        <v>26544.97</v>
      </c>
      <c r="F442" s="1012" t="s">
        <v>401</v>
      </c>
      <c r="G442" s="1012" t="s">
        <v>2641</v>
      </c>
      <c r="H442" s="150"/>
      <c r="I442" s="152"/>
      <c r="J442" s="152"/>
      <c r="K442" s="152"/>
      <c r="L442" s="153" t="str">
        <f t="shared" si="18"/>
        <v>6729</v>
      </c>
      <c r="M442" s="154" t="str">
        <f t="shared" si="19"/>
        <v>ABSENCES, VACANCES, ETC</v>
      </c>
      <c r="N442" s="155">
        <f>+IF(OR($Q442=Parametres!$G$2,$Q442=Parametres!$G$3),I442,C442)</f>
        <v>22996.15</v>
      </c>
      <c r="O442" s="155">
        <f>+IF(OR($Q442=Parametres!$G$2,$Q442=Parametres!$G$3),J442,D442)</f>
        <v>3548.82</v>
      </c>
      <c r="P442" s="155">
        <f>+IF(OR($Q442=Parametres!$G$2,$Q442=Parametres!$G$3),K442,E442)</f>
        <v>26544.97</v>
      </c>
      <c r="Q442" s="154" t="str">
        <f t="shared" si="31"/>
        <v>7-Dépenses</v>
      </c>
      <c r="R442" s="153" t="str">
        <f t="shared" si="31"/>
        <v>6129</v>
      </c>
      <c r="S442" s="154">
        <f t="shared" si="31"/>
        <v>0</v>
      </c>
      <c r="T442" s="156" t="str">
        <f>+VLOOKUP($L442,Data_Validation!$A:$D,1,0)</f>
        <v>6729</v>
      </c>
      <c r="U442" s="156" t="str">
        <f>+VLOOKUP($L442,Data_Validation!$A:$D,3,0)</f>
        <v>Pièces</v>
      </c>
      <c r="V442" s="156" t="str">
        <f>+VLOOKUP($L442,Data_Validation!$A:$D,4,0)</f>
        <v>Salaires en absences</v>
      </c>
      <c r="W442" s="156" t="str">
        <f>+VLOOKUP($L442,Data_Validation!$A:$E,5,0)</f>
        <v>$</v>
      </c>
      <c r="X442" s="156">
        <f>+VLOOKUP($L442,Data_Validation!$A:$F,6,0)</f>
        <v>0</v>
      </c>
    </row>
    <row r="443" spans="1:24" ht="15" hidden="1" customHeight="1">
      <c r="A443" s="1012" t="s">
        <v>1252</v>
      </c>
      <c r="B443" s="1012" t="s">
        <v>2667</v>
      </c>
      <c r="C443" s="1014">
        <v>5546.95</v>
      </c>
      <c r="D443" s="1014">
        <v>796.29</v>
      </c>
      <c r="E443" s="1014">
        <v>6343.24</v>
      </c>
      <c r="F443" s="1012" t="s">
        <v>401</v>
      </c>
      <c r="G443" s="1012" t="s">
        <v>2586</v>
      </c>
      <c r="H443" s="150"/>
      <c r="I443" s="152"/>
      <c r="J443" s="152"/>
      <c r="K443" s="152"/>
      <c r="L443" s="153" t="str">
        <f t="shared" si="18"/>
        <v>6731</v>
      </c>
      <c r="M443" s="154" t="str">
        <f t="shared" si="19"/>
        <v>CSST</v>
      </c>
      <c r="N443" s="155">
        <f>+IF(OR($Q443=Parametres!$G$2,$Q443=Parametres!$G$3),I443,C443)</f>
        <v>5546.95</v>
      </c>
      <c r="O443" s="155">
        <f>+IF(OR($Q443=Parametres!$G$2,$Q443=Parametres!$G$3),J443,D443)</f>
        <v>796.29</v>
      </c>
      <c r="P443" s="155">
        <f>+IF(OR($Q443=Parametres!$G$2,$Q443=Parametres!$G$3),K443,E443)</f>
        <v>6343.24</v>
      </c>
      <c r="Q443" s="154" t="str">
        <f t="shared" si="31"/>
        <v>7-Dépenses</v>
      </c>
      <c r="R443" s="153" t="str">
        <f t="shared" si="31"/>
        <v>6131</v>
      </c>
      <c r="S443" s="154">
        <f t="shared" si="31"/>
        <v>0</v>
      </c>
      <c r="T443" s="156" t="str">
        <f>+VLOOKUP($L443,Data_Validation!$A:$D,1,0)</f>
        <v>6731</v>
      </c>
      <c r="U443" s="156" t="str">
        <f>+VLOOKUP($L443,Data_Validation!$A:$D,3,0)</f>
        <v>Pièces</v>
      </c>
      <c r="V443" s="156" t="str">
        <f>+VLOOKUP($L443,Data_Validation!$A:$D,4,0)</f>
        <v>Csst</v>
      </c>
      <c r="W443" s="156" t="str">
        <f>+VLOOKUP($L443,Data_Validation!$A:$E,5,0)</f>
        <v>$</v>
      </c>
      <c r="X443" s="156">
        <f>+VLOOKUP($L443,Data_Validation!$A:$F,6,0)</f>
        <v>0</v>
      </c>
    </row>
    <row r="444" spans="1:24" ht="15" hidden="1" customHeight="1">
      <c r="A444" s="1012" t="s">
        <v>1283</v>
      </c>
      <c r="B444" s="1012" t="s">
        <v>2733</v>
      </c>
      <c r="C444" s="1014">
        <v>22750.84</v>
      </c>
      <c r="D444" s="1014">
        <v>3526.36</v>
      </c>
      <c r="E444" s="1014">
        <v>26277.200000000001</v>
      </c>
      <c r="F444" s="1012" t="s">
        <v>401</v>
      </c>
      <c r="G444" s="1012" t="s">
        <v>2685</v>
      </c>
      <c r="H444" s="150"/>
      <c r="I444" s="152"/>
      <c r="J444" s="152"/>
      <c r="K444" s="152"/>
      <c r="L444" s="153" t="str">
        <f t="shared" si="18"/>
        <v>6732</v>
      </c>
      <c r="M444" s="154" t="str">
        <f t="shared" si="19"/>
        <v>RRQ RAMQ AC</v>
      </c>
      <c r="N444" s="155">
        <f>+IF(OR($Q444=Parametres!$G$2,$Q444=Parametres!$G$3),I444,C444)</f>
        <v>22750.84</v>
      </c>
      <c r="O444" s="155">
        <f>+IF(OR($Q444=Parametres!$G$2,$Q444=Parametres!$G$3),J444,D444)</f>
        <v>3526.36</v>
      </c>
      <c r="P444" s="155">
        <f>+IF(OR($Q444=Parametres!$G$2,$Q444=Parametres!$G$3),K444,E444)</f>
        <v>26277.200000000001</v>
      </c>
      <c r="Q444" s="154" t="str">
        <f t="shared" si="31"/>
        <v>7-Dépenses</v>
      </c>
      <c r="R444" s="153" t="str">
        <f t="shared" si="31"/>
        <v>6132</v>
      </c>
      <c r="S444" s="154">
        <f t="shared" si="31"/>
        <v>0</v>
      </c>
      <c r="T444" s="156" t="str">
        <f>+VLOOKUP($L444,Data_Validation!$A:$D,1,0)</f>
        <v>6732</v>
      </c>
      <c r="U444" s="156" t="str">
        <f>+VLOOKUP($L444,Data_Validation!$A:$D,3,0)</f>
        <v>Pièces</v>
      </c>
      <c r="V444" s="156" t="str">
        <f>+VLOOKUP($L444,Data_Validation!$A:$D,4,0)</f>
        <v>Csst</v>
      </c>
      <c r="W444" s="156" t="str">
        <f>+VLOOKUP($L444,Data_Validation!$A:$E,5,0)</f>
        <v>$</v>
      </c>
      <c r="X444" s="156">
        <f>+VLOOKUP($L444,Data_Validation!$A:$F,6,0)</f>
        <v>0</v>
      </c>
    </row>
    <row r="445" spans="1:24" ht="15" hidden="1" customHeight="1">
      <c r="A445" s="1012" t="s">
        <v>1305</v>
      </c>
      <c r="B445" s="1012" t="s">
        <v>2744</v>
      </c>
      <c r="C445" s="1014">
        <v>25491.91</v>
      </c>
      <c r="D445" s="1014">
        <v>4163.8500000000004</v>
      </c>
      <c r="E445" s="1014">
        <v>29655.759999999998</v>
      </c>
      <c r="F445" s="1012" t="s">
        <v>401</v>
      </c>
      <c r="G445" s="1012" t="s">
        <v>2694</v>
      </c>
      <c r="H445" s="150"/>
      <c r="I445" s="152"/>
      <c r="J445" s="152"/>
      <c r="K445" s="152"/>
      <c r="L445" s="153" t="str">
        <f t="shared" si="18"/>
        <v>6739</v>
      </c>
      <c r="M445" s="154" t="str">
        <f t="shared" si="19"/>
        <v>ASSURANCE GROUPE</v>
      </c>
      <c r="N445" s="155">
        <f>+IF(OR($Q445=Parametres!$G$2,$Q445=Parametres!$G$3),I445,C445)</f>
        <v>25491.91</v>
      </c>
      <c r="O445" s="155">
        <f>+IF(OR($Q445=Parametres!$G$2,$Q445=Parametres!$G$3),J445,D445)</f>
        <v>4163.8500000000004</v>
      </c>
      <c r="P445" s="155">
        <f>+IF(OR($Q445=Parametres!$G$2,$Q445=Parametres!$G$3),K445,E445)</f>
        <v>29655.759999999998</v>
      </c>
      <c r="Q445" s="154" t="str">
        <f t="shared" si="31"/>
        <v>7-Dépenses</v>
      </c>
      <c r="R445" s="153" t="str">
        <f t="shared" si="31"/>
        <v>6139</v>
      </c>
      <c r="S445" s="154">
        <f t="shared" si="31"/>
        <v>0</v>
      </c>
      <c r="T445" s="156" t="str">
        <f>+VLOOKUP($L445,Data_Validation!$A:$D,1,0)</f>
        <v>6739</v>
      </c>
      <c r="U445" s="156" t="str">
        <f>+VLOOKUP($L445,Data_Validation!$A:$D,3,0)</f>
        <v>Pièces</v>
      </c>
      <c r="V445" s="156" t="str">
        <f>+VLOOKUP($L445,Data_Validation!$A:$D,4,0)</f>
        <v>Bénéfices marginaux</v>
      </c>
      <c r="W445" s="156" t="str">
        <f>+VLOOKUP($L445,Data_Validation!$A:$E,5,0)</f>
        <v>$</v>
      </c>
      <c r="X445" s="156">
        <f>+VLOOKUP($L445,Data_Validation!$A:$F,6,0)</f>
        <v>0</v>
      </c>
    </row>
    <row r="446" spans="1:24" ht="15.75" hidden="1" customHeight="1">
      <c r="A446" s="1012" t="s">
        <v>1157</v>
      </c>
      <c r="B446" s="1012" t="s">
        <v>2598</v>
      </c>
      <c r="C446" s="1014">
        <v>620</v>
      </c>
      <c r="D446" s="1014">
        <v>110</v>
      </c>
      <c r="E446" s="1014">
        <v>730</v>
      </c>
      <c r="F446" s="1012" t="s">
        <v>401</v>
      </c>
      <c r="G446" s="1012" t="s">
        <v>2563</v>
      </c>
      <c r="H446" s="150"/>
      <c r="I446" s="152"/>
      <c r="J446" s="152"/>
      <c r="K446" s="152"/>
      <c r="L446" s="153" t="str">
        <f t="shared" si="18"/>
        <v>6742</v>
      </c>
      <c r="M446" s="154" t="str">
        <f t="shared" si="19"/>
        <v>FOURNITURES &amp; PETITS OUTILS</v>
      </c>
      <c r="N446" s="155">
        <f>+IF(OR($Q446=Parametres!$G$2,$Q446=Parametres!$G$3),I446,C446)</f>
        <v>620</v>
      </c>
      <c r="O446" s="155">
        <f>+IF(OR($Q446=Parametres!$G$2,$Q446=Parametres!$G$3),J446,D446)</f>
        <v>110</v>
      </c>
      <c r="P446" s="155">
        <f>+IF(OR($Q446=Parametres!$G$2,$Q446=Parametres!$G$3),K446,E446)</f>
        <v>730</v>
      </c>
      <c r="Q446" s="154" t="str">
        <f t="shared" si="31"/>
        <v>7-Dépenses</v>
      </c>
      <c r="R446" s="153" t="str">
        <f t="shared" si="31"/>
        <v>6142</v>
      </c>
      <c r="S446" s="154">
        <f t="shared" si="31"/>
        <v>0</v>
      </c>
      <c r="T446" s="156" t="str">
        <f>+VLOOKUP($L446,Data_Validation!$A:$D,1,0)</f>
        <v>6742</v>
      </c>
      <c r="U446" s="156" t="str">
        <f>+VLOOKUP($L446,Data_Validation!$A:$D,3,0)</f>
        <v>Pièces</v>
      </c>
      <c r="V446" s="156" t="str">
        <f>+VLOOKUP($L446,Data_Validation!$A:$D,4,0)</f>
        <v>Fournitures autres</v>
      </c>
      <c r="W446" s="156" t="str">
        <f>+VLOOKUP($L446,Data_Validation!$A:$E,5,0)</f>
        <v>$</v>
      </c>
      <c r="X446" s="156">
        <f>+VLOOKUP($L446,Data_Validation!$A:$F,6,0)</f>
        <v>0</v>
      </c>
    </row>
    <row r="447" spans="1:24" ht="15.75" hidden="1" customHeight="1">
      <c r="A447" s="1012" t="s">
        <v>932</v>
      </c>
      <c r="B447" s="1012" t="s">
        <v>2474</v>
      </c>
      <c r="C447" s="1014">
        <v>1020</v>
      </c>
      <c r="D447" s="1014">
        <v>170</v>
      </c>
      <c r="E447" s="1014">
        <v>1190</v>
      </c>
      <c r="F447" s="1012" t="s">
        <v>401</v>
      </c>
      <c r="G447" s="1012" t="s">
        <v>2159</v>
      </c>
      <c r="H447" s="150"/>
      <c r="I447" s="152"/>
      <c r="J447" s="152"/>
      <c r="K447" s="152"/>
      <c r="L447" s="153" t="str">
        <f t="shared" si="18"/>
        <v>6743</v>
      </c>
      <c r="M447" s="154" t="str">
        <f t="shared" si="19"/>
        <v>UNIFORMES &amp; LESSIVE</v>
      </c>
      <c r="N447" s="155">
        <f>+IF(OR($Q447=Parametres!$G$2,$Q447=Parametres!$G$3),I447,C447)</f>
        <v>1020</v>
      </c>
      <c r="O447" s="155">
        <f>+IF(OR($Q447=Parametres!$G$2,$Q447=Parametres!$G$3),J447,D447)</f>
        <v>170</v>
      </c>
      <c r="P447" s="155">
        <f>+IF(OR($Q447=Parametres!$G$2,$Q447=Parametres!$G$3),K447,E447)</f>
        <v>1190</v>
      </c>
      <c r="Q447" s="154" t="str">
        <f t="shared" si="31"/>
        <v>7-Dépenses</v>
      </c>
      <c r="R447" s="153" t="str">
        <f t="shared" si="31"/>
        <v>6143</v>
      </c>
      <c r="S447" s="154">
        <f t="shared" si="31"/>
        <v>0</v>
      </c>
      <c r="T447" s="156" t="str">
        <f>+VLOOKUP($L447,Data_Validation!$A:$D,1,0)</f>
        <v>6743</v>
      </c>
      <c r="U447" s="156" t="str">
        <f>+VLOOKUP($L447,Data_Validation!$A:$D,3,0)</f>
        <v>Pièces</v>
      </c>
      <c r="V447" s="156" t="str">
        <f>+VLOOKUP($L447,Data_Validation!$A:$D,4,0)</f>
        <v>Uniformes</v>
      </c>
      <c r="W447" s="156" t="str">
        <f>+VLOOKUP($L447,Data_Validation!$A:$E,5,0)</f>
        <v>$</v>
      </c>
      <c r="X447" s="156">
        <f>+VLOOKUP($L447,Data_Validation!$A:$F,6,0)</f>
        <v>0</v>
      </c>
    </row>
    <row r="448" spans="1:24" ht="15" hidden="1" customHeight="1">
      <c r="A448" s="1012" t="s">
        <v>934</v>
      </c>
      <c r="B448" s="1012" t="s">
        <v>2573</v>
      </c>
      <c r="C448" s="1014">
        <v>1950</v>
      </c>
      <c r="D448" s="1014">
        <v>325</v>
      </c>
      <c r="E448" s="1014">
        <v>2275</v>
      </c>
      <c r="F448" s="1012" t="s">
        <v>401</v>
      </c>
      <c r="G448" s="1012" t="s">
        <v>2561</v>
      </c>
      <c r="H448" s="150"/>
      <c r="I448" s="152"/>
      <c r="J448" s="152"/>
      <c r="K448" s="152"/>
      <c r="L448" s="153" t="str">
        <f t="shared" si="18"/>
        <v>6744</v>
      </c>
      <c r="M448" s="154" t="str">
        <f t="shared" si="19"/>
        <v>FORMATION</v>
      </c>
      <c r="N448" s="155">
        <f>+IF(OR($Q448=Parametres!$G$2,$Q448=Parametres!$G$3),I448,C448)</f>
        <v>1950</v>
      </c>
      <c r="O448" s="155">
        <f>+IF(OR($Q448=Parametres!$G$2,$Q448=Parametres!$G$3),J448,D448)</f>
        <v>325</v>
      </c>
      <c r="P448" s="155">
        <f>+IF(OR($Q448=Parametres!$G$2,$Q448=Parametres!$G$3),K448,E448)</f>
        <v>2275</v>
      </c>
      <c r="Q448" s="154" t="str">
        <f t="shared" si="31"/>
        <v>7-Dépenses</v>
      </c>
      <c r="R448" s="153" t="str">
        <f t="shared" si="31"/>
        <v>6144</v>
      </c>
      <c r="S448" s="154">
        <f t="shared" si="31"/>
        <v>0</v>
      </c>
      <c r="T448" s="156" t="str">
        <f>+VLOOKUP($L448,Data_Validation!$A:$D,1,0)</f>
        <v>6744</v>
      </c>
      <c r="U448" s="156" t="str">
        <f>+VLOOKUP($L448,Data_Validation!$A:$D,3,0)</f>
        <v>Pièces</v>
      </c>
      <c r="V448" s="156" t="str">
        <f>+VLOOKUP($L448,Data_Validation!$A:$D,4,0)</f>
        <v>Formation</v>
      </c>
      <c r="W448" s="156" t="str">
        <f>+VLOOKUP($L448,Data_Validation!$A:$E,5,0)</f>
        <v>$</v>
      </c>
      <c r="X448" s="156">
        <f>+VLOOKUP($L448,Data_Validation!$A:$F,6,0)</f>
        <v>0</v>
      </c>
    </row>
    <row r="449" spans="1:24" ht="15" hidden="1" customHeight="1">
      <c r="A449" s="1012" t="s">
        <v>1186</v>
      </c>
      <c r="B449" s="1012" t="s">
        <v>2631</v>
      </c>
      <c r="C449" s="1014">
        <v>7057.81</v>
      </c>
      <c r="D449" s="1014">
        <v>1097.75</v>
      </c>
      <c r="E449" s="1014">
        <v>8155.56</v>
      </c>
      <c r="F449" s="1012" t="s">
        <v>401</v>
      </c>
      <c r="G449" s="1012" t="s">
        <v>2632</v>
      </c>
      <c r="H449" s="150"/>
      <c r="I449" s="157"/>
      <c r="J449" s="157"/>
      <c r="K449" s="157"/>
      <c r="L449" s="153" t="str">
        <f t="shared" si="18"/>
        <v>6745</v>
      </c>
      <c r="M449" s="154" t="str">
        <f t="shared" si="19"/>
        <v>VEHICULE DE COMPAGNIE - DEPENS</v>
      </c>
      <c r="N449" s="155">
        <f>+IF(OR($Q449=Parametres!$G$2,$Q449=Parametres!$G$3),I449,C449)</f>
        <v>7057.81</v>
      </c>
      <c r="O449" s="155">
        <f>+IF(OR($Q449=Parametres!$G$2,$Q449=Parametres!$G$3),J449,D449)</f>
        <v>1097.75</v>
      </c>
      <c r="P449" s="155">
        <f>+IF(OR($Q449=Parametres!$G$2,$Q449=Parametres!$G$3),K449,E449)</f>
        <v>8155.56</v>
      </c>
      <c r="Q449" s="154" t="str">
        <f t="shared" si="31"/>
        <v>7-Dépenses</v>
      </c>
      <c r="R449" s="153" t="str">
        <f t="shared" si="31"/>
        <v>6145</v>
      </c>
      <c r="S449" s="154">
        <f t="shared" si="31"/>
        <v>0</v>
      </c>
      <c r="T449" s="156" t="str">
        <f>+VLOOKUP($L449,Data_Validation!$A:$D,1,0)</f>
        <v>6745</v>
      </c>
      <c r="U449" s="156" t="str">
        <f>+VLOOKUP($L449,Data_Validation!$A:$D,3,0)</f>
        <v>Pièces</v>
      </c>
      <c r="V449" s="156" t="str">
        <f>+VLOOKUP($L449,Data_Validation!$A:$D,4,0)</f>
        <v>Frais véhicules de cie</v>
      </c>
      <c r="W449" s="156" t="str">
        <f>+VLOOKUP($L449,Data_Validation!$A:$E,5,0)</f>
        <v>$</v>
      </c>
      <c r="X449" s="156">
        <f>+VLOOKUP($L449,Data_Validation!$A:$F,6,0)</f>
        <v>0</v>
      </c>
    </row>
    <row r="450" spans="1:24" ht="15" hidden="1" customHeight="1">
      <c r="A450" s="1012" t="s">
        <v>1180</v>
      </c>
      <c r="B450" s="1012" t="s">
        <v>2610</v>
      </c>
      <c r="C450" s="1014">
        <v>708.06</v>
      </c>
      <c r="D450" s="1014">
        <v>126.47</v>
      </c>
      <c r="E450" s="1014">
        <v>834.53</v>
      </c>
      <c r="F450" s="1012" t="s">
        <v>401</v>
      </c>
      <c r="G450" s="1012" t="s">
        <v>2581</v>
      </c>
      <c r="H450" s="150"/>
      <c r="I450" s="157"/>
      <c r="J450" s="157"/>
      <c r="K450" s="157"/>
      <c r="L450" s="153" t="str">
        <f t="shared" si="18"/>
        <v>6747</v>
      </c>
      <c r="M450" s="154" t="str">
        <f t="shared" si="19"/>
        <v>FRET/EXPRESS/TRANS. PAR CAMION</v>
      </c>
      <c r="N450" s="155">
        <f>+IF(OR($Q450=Parametres!$G$2,$Q450=Parametres!$G$3),I450,C450)</f>
        <v>708.06</v>
      </c>
      <c r="O450" s="155">
        <f>+IF(OR($Q450=Parametres!$G$2,$Q450=Parametres!$G$3),J450,D450)</f>
        <v>126.47</v>
      </c>
      <c r="P450" s="155">
        <f>+IF(OR($Q450=Parametres!$G$2,$Q450=Parametres!$G$3),K450,E450)</f>
        <v>834.53</v>
      </c>
      <c r="Q450" s="154" t="str">
        <f t="shared" ref="Q450:S465" si="32">+F450</f>
        <v>7-Dépenses</v>
      </c>
      <c r="R450" s="153" t="str">
        <f t="shared" si="32"/>
        <v>6147</v>
      </c>
      <c r="S450" s="154">
        <f t="shared" si="32"/>
        <v>0</v>
      </c>
      <c r="T450" s="156" t="str">
        <f>+VLOOKUP($L450,Data_Validation!$A:$D,1,0)</f>
        <v>6747</v>
      </c>
      <c r="U450" s="156" t="str">
        <f>+VLOOKUP($L450,Data_Validation!$A:$D,3,0)</f>
        <v>Pièces</v>
      </c>
      <c r="V450" s="156" t="str">
        <f>+VLOOKUP($L450,Data_Validation!$A:$D,4,0)</f>
        <v>Frais postaux</v>
      </c>
      <c r="W450" s="156" t="str">
        <f>+VLOOKUP($L450,Data_Validation!$A:$E,5,0)</f>
        <v>$</v>
      </c>
      <c r="X450" s="156">
        <f>+VLOOKUP($L450,Data_Validation!$A:$F,6,0)</f>
        <v>0</v>
      </c>
    </row>
    <row r="451" spans="1:24" ht="15" hidden="1" customHeight="1">
      <c r="A451" s="1012" t="s">
        <v>1286</v>
      </c>
      <c r="B451" s="1012" t="s">
        <v>2739</v>
      </c>
      <c r="C451" s="1014">
        <v>23119.200000000001</v>
      </c>
      <c r="D451" s="1014">
        <v>3686.92</v>
      </c>
      <c r="E451" s="1014">
        <v>26806.12</v>
      </c>
      <c r="F451" s="1012" t="s">
        <v>401</v>
      </c>
      <c r="G451" s="1012" t="s">
        <v>2702</v>
      </c>
      <c r="H451" s="150"/>
      <c r="I451" s="157"/>
      <c r="J451" s="157"/>
      <c r="K451" s="157"/>
      <c r="L451" s="153" t="str">
        <f t="shared" si="18"/>
        <v>6751</v>
      </c>
      <c r="M451" s="154" t="str">
        <f t="shared" si="19"/>
        <v>DEP. DU TRAITEMENT DES DONNEES</v>
      </c>
      <c r="N451" s="155">
        <f>+IF(OR($Q451=Parametres!$G$2,$Q451=Parametres!$G$3),I451,C451)</f>
        <v>23119.200000000001</v>
      </c>
      <c r="O451" s="155">
        <f>+IF(OR($Q451=Parametres!$G$2,$Q451=Parametres!$G$3),J451,D451)</f>
        <v>3686.92</v>
      </c>
      <c r="P451" s="155">
        <f>+IF(OR($Q451=Parametres!$G$2,$Q451=Parametres!$G$3),K451,E451)</f>
        <v>26806.12</v>
      </c>
      <c r="Q451" s="154" t="str">
        <f t="shared" si="32"/>
        <v>7-Dépenses</v>
      </c>
      <c r="R451" s="153" t="str">
        <f t="shared" si="32"/>
        <v>6151</v>
      </c>
      <c r="S451" s="154">
        <f t="shared" si="32"/>
        <v>0</v>
      </c>
      <c r="T451" s="156" t="str">
        <f>+VLOOKUP($L451,Data_Validation!$A:$D,1,0)</f>
        <v>6751</v>
      </c>
      <c r="U451" s="156" t="str">
        <f>+VLOOKUP($L451,Data_Validation!$A:$D,3,0)</f>
        <v>Pièces</v>
      </c>
      <c r="V451" s="156" t="str">
        <f>+VLOOKUP($L451,Data_Validation!$A:$D,4,0)</f>
        <v>Informatique</v>
      </c>
      <c r="W451" s="156" t="str">
        <f>+VLOOKUP($L451,Data_Validation!$A:$E,5,0)</f>
        <v>$</v>
      </c>
      <c r="X451" s="156">
        <f>+VLOOKUP($L451,Data_Validation!$A:$F,6,0)</f>
        <v>0</v>
      </c>
    </row>
    <row r="452" spans="1:24" ht="15.75" hidden="1" customHeight="1">
      <c r="A452" s="1012" t="s">
        <v>1206</v>
      </c>
      <c r="B452" s="1012" t="s">
        <v>2646</v>
      </c>
      <c r="C452" s="1014">
        <v>2775</v>
      </c>
      <c r="D452" s="1014">
        <v>462.5</v>
      </c>
      <c r="E452" s="1014">
        <v>3237.5</v>
      </c>
      <c r="F452" s="1012" t="s">
        <v>401</v>
      </c>
      <c r="G452" s="1012" t="s">
        <v>2588</v>
      </c>
      <c r="H452" s="150"/>
      <c r="I452" s="157"/>
      <c r="J452" s="157"/>
      <c r="K452" s="157"/>
      <c r="L452" s="153" t="str">
        <f t="shared" si="18"/>
        <v>6752</v>
      </c>
      <c r="M452" s="154" t="str">
        <f t="shared" si="19"/>
        <v>PAPETERIE</v>
      </c>
      <c r="N452" s="155">
        <f>+IF(OR($Q452=Parametres!$G$2,$Q452=Parametres!$G$3),I452,C452)</f>
        <v>2775</v>
      </c>
      <c r="O452" s="155">
        <f>+IF(OR($Q452=Parametres!$G$2,$Q452=Parametres!$G$3),J452,D452)</f>
        <v>462.5</v>
      </c>
      <c r="P452" s="155">
        <f>+IF(OR($Q452=Parametres!$G$2,$Q452=Parametres!$G$3),K452,E452)</f>
        <v>3237.5</v>
      </c>
      <c r="Q452" s="154" t="str">
        <f t="shared" si="32"/>
        <v>7-Dépenses</v>
      </c>
      <c r="R452" s="153" t="str">
        <f t="shared" si="32"/>
        <v>6152</v>
      </c>
      <c r="S452" s="154">
        <f t="shared" si="32"/>
        <v>0</v>
      </c>
      <c r="T452" s="156" t="str">
        <f>+VLOOKUP($L452,Data_Validation!$A:$D,1,0)</f>
        <v>6752</v>
      </c>
      <c r="U452" s="156" t="str">
        <f>+VLOOKUP($L452,Data_Validation!$A:$D,3,0)</f>
        <v>Pièces</v>
      </c>
      <c r="V452" s="156" t="str">
        <f>+VLOOKUP($L452,Data_Validation!$A:$D,4,0)</f>
        <v>Papeterie</v>
      </c>
      <c r="W452" s="156" t="str">
        <f>+VLOOKUP($L452,Data_Validation!$A:$E,5,0)</f>
        <v>$</v>
      </c>
      <c r="X452" s="156">
        <f>+VLOOKUP($L452,Data_Validation!$A:$F,6,0)</f>
        <v>0</v>
      </c>
    </row>
    <row r="453" spans="1:24" ht="15" hidden="1" customHeight="1">
      <c r="A453" s="1012" t="s">
        <v>1154</v>
      </c>
      <c r="B453" s="1012" t="s">
        <v>2630</v>
      </c>
      <c r="C453" s="1014">
        <v>2030.41</v>
      </c>
      <c r="D453" s="1014">
        <v>350.97</v>
      </c>
      <c r="E453" s="1014">
        <v>2381.38</v>
      </c>
      <c r="F453" s="1012" t="s">
        <v>401</v>
      </c>
      <c r="G453" s="1012" t="s">
        <v>2592</v>
      </c>
      <c r="H453" s="150"/>
      <c r="I453" s="157"/>
      <c r="J453" s="157"/>
      <c r="K453" s="157"/>
      <c r="L453" s="153" t="str">
        <f t="shared" si="18"/>
        <v>6753</v>
      </c>
      <c r="M453" s="154" t="str">
        <f t="shared" si="19"/>
        <v>TELEPHONE ET TELEX</v>
      </c>
      <c r="N453" s="155">
        <f>+IF(OR($Q453=Parametres!$G$2,$Q453=Parametres!$G$3),I453,C453)</f>
        <v>2030.41</v>
      </c>
      <c r="O453" s="155">
        <f>+IF(OR($Q453=Parametres!$G$2,$Q453=Parametres!$G$3),J453,D453)</f>
        <v>350.97</v>
      </c>
      <c r="P453" s="155">
        <f>+IF(OR($Q453=Parametres!$G$2,$Q453=Parametres!$G$3),K453,E453)</f>
        <v>2381.38</v>
      </c>
      <c r="Q453" s="154" t="str">
        <f t="shared" si="32"/>
        <v>7-Dépenses</v>
      </c>
      <c r="R453" s="153" t="str">
        <f t="shared" si="32"/>
        <v>6153</v>
      </c>
      <c r="S453" s="154">
        <f t="shared" si="32"/>
        <v>0</v>
      </c>
      <c r="T453" s="156" t="str">
        <f>+VLOOKUP($L453,Data_Validation!$A:$D,1,0)</f>
        <v>6753</v>
      </c>
      <c r="U453" s="156" t="str">
        <f>+VLOOKUP($L453,Data_Validation!$A:$D,3,0)</f>
        <v>Pièces</v>
      </c>
      <c r="V453" s="156" t="str">
        <f>+VLOOKUP($L453,Data_Validation!$A:$D,4,0)</f>
        <v>Téléphone</v>
      </c>
      <c r="W453" s="156" t="str">
        <f>+VLOOKUP($L453,Data_Validation!$A:$E,5,0)</f>
        <v>$</v>
      </c>
      <c r="X453" s="156">
        <f>+VLOOKUP($L453,Data_Validation!$A:$F,6,0)</f>
        <v>0</v>
      </c>
    </row>
    <row r="454" spans="1:24" ht="15" hidden="1" customHeight="1">
      <c r="A454" s="1012" t="s">
        <v>1237</v>
      </c>
      <c r="B454" s="1012" t="s">
        <v>2704</v>
      </c>
      <c r="C454" s="1014">
        <v>7923.25</v>
      </c>
      <c r="D454" s="1014">
        <v>1275</v>
      </c>
      <c r="E454" s="1014">
        <v>9198.25</v>
      </c>
      <c r="F454" s="1012" t="s">
        <v>401</v>
      </c>
      <c r="G454" s="1012" t="s">
        <v>2637</v>
      </c>
      <c r="H454" s="150"/>
      <c r="I454" s="157"/>
      <c r="J454" s="157"/>
      <c r="K454" s="157"/>
      <c r="L454" s="153" t="str">
        <f t="shared" si="18"/>
        <v>6755</v>
      </c>
      <c r="M454" s="154" t="str">
        <f t="shared" si="19"/>
        <v>DEPENSES DIVERS</v>
      </c>
      <c r="N454" s="155">
        <f>+IF(OR($Q454=Parametres!$G$2,$Q454=Parametres!$G$3),I454,C454)</f>
        <v>7923.25</v>
      </c>
      <c r="O454" s="155">
        <f>+IF(OR($Q454=Parametres!$G$2,$Q454=Parametres!$G$3),J454,D454)</f>
        <v>1275</v>
      </c>
      <c r="P454" s="155">
        <f>+IF(OR($Q454=Parametres!$G$2,$Q454=Parametres!$G$3),K454,E454)</f>
        <v>9198.25</v>
      </c>
      <c r="Q454" s="154" t="str">
        <f t="shared" si="32"/>
        <v>7-Dépenses</v>
      </c>
      <c r="R454" s="153" t="str">
        <f t="shared" si="32"/>
        <v>6155</v>
      </c>
      <c r="S454" s="154">
        <f t="shared" si="32"/>
        <v>0</v>
      </c>
      <c r="T454" s="156" t="str">
        <f>+VLOOKUP($L454,Data_Validation!$A:$D,1,0)</f>
        <v>6755</v>
      </c>
      <c r="U454" s="156" t="str">
        <f>+VLOOKUP($L454,Data_Validation!$A:$D,3,0)</f>
        <v>Pièces</v>
      </c>
      <c r="V454" s="156" t="str">
        <f>+VLOOKUP($L454,Data_Validation!$A:$D,4,0)</f>
        <v>Divers</v>
      </c>
      <c r="W454" s="156" t="str">
        <f>+VLOOKUP($L454,Data_Validation!$A:$E,5,0)</f>
        <v>$</v>
      </c>
      <c r="X454" s="156">
        <f>+VLOOKUP($L454,Data_Validation!$A:$F,6,0)</f>
        <v>0</v>
      </c>
    </row>
    <row r="455" spans="1:24" ht="15" hidden="1" customHeight="1">
      <c r="A455" s="1012" t="s">
        <v>1294</v>
      </c>
      <c r="B455" s="1012" t="s">
        <v>2475</v>
      </c>
      <c r="C455" s="1014">
        <v>9115.5</v>
      </c>
      <c r="D455" s="1014">
        <v>1519.25</v>
      </c>
      <c r="E455" s="1014">
        <v>10634.75</v>
      </c>
      <c r="F455" s="1012" t="s">
        <v>401</v>
      </c>
      <c r="G455" s="1012" t="s">
        <v>2470</v>
      </c>
      <c r="H455" s="150"/>
      <c r="I455" s="157"/>
      <c r="J455" s="157"/>
      <c r="K455" s="157"/>
      <c r="L455" s="153" t="str">
        <f t="shared" si="18"/>
        <v>6756</v>
      </c>
      <c r="M455" s="154" t="str">
        <f t="shared" si="19"/>
        <v>FRAIS REPRESENTATION - PIECES</v>
      </c>
      <c r="N455" s="155">
        <f>+IF(OR($Q455=Parametres!$G$2,$Q455=Parametres!$G$3),I455,C455)</f>
        <v>9115.5</v>
      </c>
      <c r="O455" s="155">
        <f>+IF(OR($Q455=Parametres!$G$2,$Q455=Parametres!$G$3),J455,D455)</f>
        <v>1519.25</v>
      </c>
      <c r="P455" s="155">
        <f>+IF(OR($Q455=Parametres!$G$2,$Q455=Parametres!$G$3),K455,E455)</f>
        <v>10634.75</v>
      </c>
      <c r="Q455" s="154" t="str">
        <f t="shared" si="32"/>
        <v>7-Dépenses</v>
      </c>
      <c r="R455" s="153" t="str">
        <f t="shared" si="32"/>
        <v>6156</v>
      </c>
      <c r="S455" s="154">
        <f t="shared" si="32"/>
        <v>0</v>
      </c>
      <c r="T455" s="156" t="str">
        <f>+VLOOKUP($L455,Data_Validation!$A:$D,1,0)</f>
        <v>6756</v>
      </c>
      <c r="U455" s="156" t="str">
        <f>+VLOOKUP($L455,Data_Validation!$A:$D,3,0)</f>
        <v>Pièces</v>
      </c>
      <c r="V455" s="156" t="str">
        <f>+VLOOKUP($L455,Data_Validation!$A:$D,4,0)</f>
        <v>Frais de déplacement</v>
      </c>
      <c r="W455" s="156" t="str">
        <f>+VLOOKUP($L455,Data_Validation!$A:$E,5,0)</f>
        <v>$</v>
      </c>
      <c r="X455" s="156">
        <f>+VLOOKUP($L455,Data_Validation!$A:$F,6,0)</f>
        <v>0</v>
      </c>
    </row>
    <row r="456" spans="1:24" ht="15.75" hidden="1" customHeight="1">
      <c r="A456" s="1012" t="s">
        <v>1308</v>
      </c>
      <c r="B456" s="1012" t="s">
        <v>2775</v>
      </c>
      <c r="C456" s="1014">
        <v>64404.66</v>
      </c>
      <c r="D456" s="1014">
        <v>10298.48</v>
      </c>
      <c r="E456" s="1014">
        <v>74703.14</v>
      </c>
      <c r="F456" s="1012" t="s">
        <v>401</v>
      </c>
      <c r="G456" s="1012" t="s">
        <v>2662</v>
      </c>
      <c r="H456" s="150"/>
      <c r="I456" s="157"/>
      <c r="J456" s="157"/>
      <c r="K456" s="157"/>
      <c r="L456" s="153" t="str">
        <f t="shared" si="18"/>
        <v>6759</v>
      </c>
      <c r="M456" s="154" t="str">
        <f t="shared" si="19"/>
        <v>SERVICE EXTERIEUR</v>
      </c>
      <c r="N456" s="155">
        <f>+IF(OR($Q456=Parametres!$G$2,$Q456=Parametres!$G$3),I456,C456)</f>
        <v>64404.66</v>
      </c>
      <c r="O456" s="155">
        <f>+IF(OR($Q456=Parametres!$G$2,$Q456=Parametres!$G$3),J456,D456)</f>
        <v>10298.48</v>
      </c>
      <c r="P456" s="155">
        <f>+IF(OR($Q456=Parametres!$G$2,$Q456=Parametres!$G$3),K456,E456)</f>
        <v>74703.14</v>
      </c>
      <c r="Q456" s="154" t="str">
        <f t="shared" si="32"/>
        <v>7-Dépenses</v>
      </c>
      <c r="R456" s="153" t="str">
        <f t="shared" si="32"/>
        <v>6159</v>
      </c>
      <c r="S456" s="154">
        <f t="shared" si="32"/>
        <v>0</v>
      </c>
      <c r="T456" s="156" t="str">
        <f>+VLOOKUP($L456,Data_Validation!$A:$D,1,0)</f>
        <v>6759</v>
      </c>
      <c r="U456" s="156" t="str">
        <f>+VLOOKUP($L456,Data_Validation!$A:$D,3,0)</f>
        <v>Pièces</v>
      </c>
      <c r="V456" s="156" t="str">
        <f>+VLOOKUP($L456,Data_Validation!$A:$D,4,0)</f>
        <v>Services extérieurs</v>
      </c>
      <c r="W456" s="156" t="str">
        <f>+VLOOKUP($L456,Data_Validation!$A:$E,5,0)</f>
        <v>$</v>
      </c>
      <c r="X456" s="156">
        <f>+VLOOKUP($L456,Data_Validation!$A:$F,6,0)</f>
        <v>0</v>
      </c>
    </row>
    <row r="457" spans="1:24" ht="15" hidden="1" customHeight="1">
      <c r="A457" s="1012" t="s">
        <v>1333</v>
      </c>
      <c r="B457" s="1012" t="s">
        <v>2718</v>
      </c>
      <c r="C457" s="1014">
        <v>13500</v>
      </c>
      <c r="D457" s="1014">
        <v>2315.5</v>
      </c>
      <c r="E457" s="1014">
        <v>15815.5</v>
      </c>
      <c r="F457" s="1012" t="s">
        <v>401</v>
      </c>
      <c r="G457" s="1012" t="s">
        <v>2653</v>
      </c>
      <c r="H457" s="150"/>
      <c r="I457" s="157"/>
      <c r="J457" s="157"/>
      <c r="K457" s="157"/>
      <c r="L457" s="153" t="str">
        <f t="shared" si="18"/>
        <v>6761</v>
      </c>
      <c r="M457" s="154" t="str">
        <f t="shared" si="19"/>
        <v>DEPRECIATION EQUIP. &amp; FIXTURES</v>
      </c>
      <c r="N457" s="155">
        <f>+IF(OR($Q457=Parametres!$G$2,$Q457=Parametres!$G$3),I457,C457)</f>
        <v>13500</v>
      </c>
      <c r="O457" s="155">
        <f>+IF(OR($Q457=Parametres!$G$2,$Q457=Parametres!$G$3),J457,D457)</f>
        <v>2315.5</v>
      </c>
      <c r="P457" s="155">
        <f>+IF(OR($Q457=Parametres!$G$2,$Q457=Parametres!$G$3),K457,E457)</f>
        <v>15815.5</v>
      </c>
      <c r="Q457" s="154" t="str">
        <f t="shared" si="32"/>
        <v>7-Dépenses</v>
      </c>
      <c r="R457" s="153" t="str">
        <f t="shared" si="32"/>
        <v>6161</v>
      </c>
      <c r="S457" s="154">
        <f t="shared" si="32"/>
        <v>0</v>
      </c>
      <c r="T457" s="156" t="str">
        <f>+VLOOKUP($L457,Data_Validation!$A:$D,1,0)</f>
        <v>6761</v>
      </c>
      <c r="U457" s="156" t="str">
        <f>+VLOOKUP($L457,Data_Validation!$A:$D,3,0)</f>
        <v>Pièces</v>
      </c>
      <c r="V457" s="156" t="str">
        <f>+VLOOKUP($L457,Data_Validation!$A:$D,4,0)</f>
        <v>Amortissement</v>
      </c>
      <c r="W457" s="156" t="str">
        <f>+VLOOKUP($L457,Data_Validation!$A:$E,5,0)</f>
        <v>$</v>
      </c>
      <c r="X457" s="156">
        <f>+VLOOKUP($L457,Data_Validation!$A:$F,6,0)</f>
        <v>0</v>
      </c>
    </row>
    <row r="458" spans="1:24" ht="15" hidden="1" customHeight="1">
      <c r="A458" s="946" t="s">
        <v>936</v>
      </c>
      <c r="B458" s="946" t="s">
        <v>2476</v>
      </c>
      <c r="C458" s="947">
        <v>2400</v>
      </c>
      <c r="D458" s="947">
        <v>400</v>
      </c>
      <c r="E458" s="947">
        <v>2800</v>
      </c>
      <c r="F458" s="946" t="s">
        <v>401</v>
      </c>
      <c r="G458" s="946" t="s">
        <v>2463</v>
      </c>
      <c r="H458" s="150"/>
      <c r="I458" s="157"/>
      <c r="J458" s="157"/>
      <c r="K458" s="157"/>
      <c r="L458" s="153" t="str">
        <f t="shared" si="18"/>
        <v>6762</v>
      </c>
      <c r="M458" s="154" t="str">
        <f t="shared" si="19"/>
        <v>LOCATION D'EQUIPEMENTS</v>
      </c>
      <c r="N458" s="155">
        <f>+IF(OR($Q458=Parametres!$G$2,$Q458=Parametres!$G$3),I458,C458)</f>
        <v>2400</v>
      </c>
      <c r="O458" s="155">
        <f>+IF(OR($Q458=Parametres!$G$2,$Q458=Parametres!$G$3),J458,D458)</f>
        <v>400</v>
      </c>
      <c r="P458" s="155">
        <f>+IF(OR($Q458=Parametres!$G$2,$Q458=Parametres!$G$3),K458,E458)</f>
        <v>2800</v>
      </c>
      <c r="Q458" s="154" t="str">
        <f t="shared" si="32"/>
        <v>7-Dépenses</v>
      </c>
      <c r="R458" s="153" t="str">
        <f t="shared" si="32"/>
        <v>6162</v>
      </c>
      <c r="S458" s="154">
        <f t="shared" si="32"/>
        <v>0</v>
      </c>
      <c r="T458" s="156" t="str">
        <f>+VLOOKUP($L458,Data_Validation!$A:$D,1,0)</f>
        <v>6762</v>
      </c>
      <c r="U458" s="156" t="str">
        <f>+VLOOKUP($L458,Data_Validation!$A:$D,3,0)</f>
        <v>Pièces</v>
      </c>
      <c r="V458" s="156" t="str">
        <f>+VLOOKUP($L458,Data_Validation!$A:$D,4,0)</f>
        <v>Location équipement</v>
      </c>
      <c r="W458" s="156" t="str">
        <f>+VLOOKUP($L458,Data_Validation!$A:$E,5,0)</f>
        <v>$</v>
      </c>
      <c r="X458" s="156">
        <f>+VLOOKUP($L458,Data_Validation!$A:$F,6,0)</f>
        <v>0</v>
      </c>
    </row>
    <row r="459" spans="1:24" ht="15" hidden="1" customHeight="1">
      <c r="A459" s="946" t="s">
        <v>1316</v>
      </c>
      <c r="B459" s="946" t="s">
        <v>2671</v>
      </c>
      <c r="C459" s="947">
        <v>5505</v>
      </c>
      <c r="D459" s="947">
        <v>917.5</v>
      </c>
      <c r="E459" s="947">
        <v>6422.5</v>
      </c>
      <c r="F459" s="946" t="s">
        <v>401</v>
      </c>
      <c r="G459" s="946" t="s">
        <v>2604</v>
      </c>
      <c r="H459" s="150"/>
      <c r="I459" s="157"/>
      <c r="J459" s="157"/>
      <c r="K459" s="157"/>
      <c r="L459" s="153" t="str">
        <f t="shared" si="18"/>
        <v>6781</v>
      </c>
      <c r="M459" s="154" t="str">
        <f t="shared" si="19"/>
        <v>CHAUFFAGE,ELECTRICITE,EAU-PIECES</v>
      </c>
      <c r="N459" s="155">
        <f>+IF(OR($Q459=Parametres!$G$2,$Q459=Parametres!$G$3),I459,C459)</f>
        <v>5505</v>
      </c>
      <c r="O459" s="155">
        <f>+IF(OR($Q459=Parametres!$G$2,$Q459=Parametres!$G$3),J459,D459)</f>
        <v>917.5</v>
      </c>
      <c r="P459" s="155">
        <f>+IF(OR($Q459=Parametres!$G$2,$Q459=Parametres!$G$3),K459,E459)</f>
        <v>6422.5</v>
      </c>
      <c r="Q459" s="154" t="str">
        <f t="shared" si="32"/>
        <v>7-Dépenses</v>
      </c>
      <c r="R459" s="153" t="str">
        <f t="shared" si="32"/>
        <v>6181</v>
      </c>
      <c r="S459" s="154">
        <f t="shared" si="32"/>
        <v>0</v>
      </c>
      <c r="T459" s="156" t="str">
        <f>+VLOOKUP($L459,Data_Validation!$A:$D,1,0)</f>
        <v>6781</v>
      </c>
      <c r="U459" s="156" t="str">
        <f>+VLOOKUP($L459,Data_Validation!$A:$D,3,0)</f>
        <v>Pièces</v>
      </c>
      <c r="V459" s="156" t="str">
        <f>+VLOOKUP($L459,Data_Validation!$A:$D,4,0)</f>
        <v>Chauffage, éclairage</v>
      </c>
      <c r="W459" s="156" t="str">
        <f>+VLOOKUP($L459,Data_Validation!$A:$E,5,0)</f>
        <v>$</v>
      </c>
      <c r="X459" s="156">
        <f>+VLOOKUP($L459,Data_Validation!$A:$F,6,0)</f>
        <v>0</v>
      </c>
    </row>
    <row r="460" spans="1:24" ht="15" hidden="1" customHeight="1">
      <c r="A460" s="946" t="s">
        <v>1457</v>
      </c>
      <c r="B460" s="946" t="s">
        <v>2760</v>
      </c>
      <c r="C460" s="947">
        <v>39889.78</v>
      </c>
      <c r="D460" s="947">
        <v>8618.6200000000008</v>
      </c>
      <c r="E460" s="947">
        <v>48508.4</v>
      </c>
      <c r="F460" s="946" t="s">
        <v>401</v>
      </c>
      <c r="G460" s="946" t="s">
        <v>2709</v>
      </c>
      <c r="H460" s="150"/>
      <c r="I460" s="157"/>
      <c r="J460" s="157"/>
      <c r="K460" s="157"/>
      <c r="L460" s="153" t="str">
        <f t="shared" si="18"/>
        <v>6782</v>
      </c>
      <c r="M460" s="154" t="str">
        <f t="shared" si="19"/>
        <v>LOYER - PIECES</v>
      </c>
      <c r="N460" s="155">
        <f>+IF(OR($Q460=Parametres!$G$2,$Q460=Parametres!$G$3),I460,C460)</f>
        <v>39889.78</v>
      </c>
      <c r="O460" s="155">
        <f>+IF(OR($Q460=Parametres!$G$2,$Q460=Parametres!$G$3),J460,D460)</f>
        <v>8618.6200000000008</v>
      </c>
      <c r="P460" s="155">
        <f>+IF(OR($Q460=Parametres!$G$2,$Q460=Parametres!$G$3),K460,E460)</f>
        <v>48508.4</v>
      </c>
      <c r="Q460" s="154" t="str">
        <f t="shared" si="32"/>
        <v>7-Dépenses</v>
      </c>
      <c r="R460" s="153" t="str">
        <f t="shared" si="32"/>
        <v>6182</v>
      </c>
      <c r="S460" s="154">
        <f t="shared" si="32"/>
        <v>0</v>
      </c>
      <c r="T460" s="156" t="str">
        <f>+VLOOKUP($L460,Data_Validation!$A:$D,1,0)</f>
        <v>6782</v>
      </c>
      <c r="U460" s="156" t="str">
        <f>+VLOOKUP($L460,Data_Validation!$A:$D,3,0)</f>
        <v>Pièces</v>
      </c>
      <c r="V460" s="156" t="str">
        <f>+VLOOKUP($L460,Data_Validation!$A:$D,4,0)</f>
        <v>Loyer</v>
      </c>
      <c r="W460" s="156" t="str">
        <f>+VLOOKUP($L460,Data_Validation!$A:$E,5,0)</f>
        <v>$</v>
      </c>
      <c r="X460" s="156">
        <f>+VLOOKUP($L460,Data_Validation!$A:$F,6,0)</f>
        <v>0</v>
      </c>
    </row>
    <row r="461" spans="1:24" ht="15" hidden="1" customHeight="1">
      <c r="A461" s="946" t="s">
        <v>1352</v>
      </c>
      <c r="B461" s="946" t="s">
        <v>2660</v>
      </c>
      <c r="C461" s="947">
        <v>2250</v>
      </c>
      <c r="D461" s="947">
        <v>375</v>
      </c>
      <c r="E461" s="947">
        <v>2625</v>
      </c>
      <c r="F461" s="946" t="s">
        <v>401</v>
      </c>
      <c r="G461" s="946" t="s">
        <v>2594</v>
      </c>
      <c r="H461" s="150"/>
      <c r="I461" s="157"/>
      <c r="J461" s="157"/>
      <c r="K461" s="157"/>
      <c r="L461" s="153" t="str">
        <f t="shared" si="18"/>
        <v>6786</v>
      </c>
      <c r="M461" s="154" t="str">
        <f t="shared" si="19"/>
        <v>ASSURANCE BATISSE &amp; AMEL.-PIECES</v>
      </c>
      <c r="N461" s="155">
        <f>+IF(OR($Q461=Parametres!$G$2,$Q461=Parametres!$G$3),I461,C461)</f>
        <v>2250</v>
      </c>
      <c r="O461" s="155">
        <f>+IF(OR($Q461=Parametres!$G$2,$Q461=Parametres!$G$3),J461,D461)</f>
        <v>375</v>
      </c>
      <c r="P461" s="155">
        <f>+IF(OR($Q461=Parametres!$G$2,$Q461=Parametres!$G$3),K461,E461)</f>
        <v>2625</v>
      </c>
      <c r="Q461" s="154" t="str">
        <f t="shared" si="32"/>
        <v>7-Dépenses</v>
      </c>
      <c r="R461" s="153" t="str">
        <f t="shared" si="32"/>
        <v>6186</v>
      </c>
      <c r="S461" s="154">
        <f t="shared" si="32"/>
        <v>0</v>
      </c>
      <c r="T461" s="156" t="str">
        <f>+VLOOKUP($L461,Data_Validation!$A:$D,1,0)</f>
        <v>6786</v>
      </c>
      <c r="U461" s="156" t="str">
        <f>+VLOOKUP($L461,Data_Validation!$A:$D,3,0)</f>
        <v>Pièces</v>
      </c>
      <c r="V461" s="156" t="str">
        <f>+VLOOKUP($L461,Data_Validation!$A:$D,4,0)</f>
        <v>Assurances</v>
      </c>
      <c r="W461" s="156" t="str">
        <f>+VLOOKUP($L461,Data_Validation!$A:$E,5,0)</f>
        <v>$</v>
      </c>
      <c r="X461" s="156">
        <f>+VLOOKUP($L461,Data_Validation!$A:$F,6,0)</f>
        <v>0</v>
      </c>
    </row>
    <row r="462" spans="1:24" ht="15.75" hidden="1" customHeight="1">
      <c r="A462" s="946" t="s">
        <v>1344</v>
      </c>
      <c r="B462" s="946" t="s">
        <v>2686</v>
      </c>
      <c r="C462" s="947">
        <v>7050</v>
      </c>
      <c r="D462" s="947">
        <v>1175</v>
      </c>
      <c r="E462" s="947">
        <v>8225</v>
      </c>
      <c r="F462" s="946" t="s">
        <v>401</v>
      </c>
      <c r="G462" s="946" t="s">
        <v>2614</v>
      </c>
      <c r="H462" s="150"/>
      <c r="I462" s="157"/>
      <c r="J462" s="157"/>
      <c r="K462" s="157"/>
      <c r="L462" s="153" t="str">
        <f t="shared" si="18"/>
        <v>6787</v>
      </c>
      <c r="M462" s="154" t="str">
        <f t="shared" si="19"/>
        <v>TAXES FONCIERES - PIECES</v>
      </c>
      <c r="N462" s="155">
        <f>+IF(OR($Q462=Parametres!$G$2,$Q462=Parametres!$G$3),I462,C462)</f>
        <v>7050</v>
      </c>
      <c r="O462" s="155">
        <f>+IF(OR($Q462=Parametres!$G$2,$Q462=Parametres!$G$3),J462,D462)</f>
        <v>1175</v>
      </c>
      <c r="P462" s="155">
        <f>+IF(OR($Q462=Parametres!$G$2,$Q462=Parametres!$G$3),K462,E462)</f>
        <v>8225</v>
      </c>
      <c r="Q462" s="154" t="str">
        <f t="shared" si="32"/>
        <v>7-Dépenses</v>
      </c>
      <c r="R462" s="153" t="str">
        <f t="shared" si="32"/>
        <v>6187</v>
      </c>
      <c r="S462" s="154">
        <f t="shared" si="32"/>
        <v>0</v>
      </c>
      <c r="T462" s="156" t="str">
        <f>+VLOOKUP($L462,Data_Validation!$A:$D,1,0)</f>
        <v>6787</v>
      </c>
      <c r="U462" s="156" t="str">
        <f>+VLOOKUP($L462,Data_Validation!$A:$D,3,0)</f>
        <v>Pièces</v>
      </c>
      <c r="V462" s="156" t="str">
        <f>+VLOOKUP($L462,Data_Validation!$A:$D,4,0)</f>
        <v>Taxes foncières</v>
      </c>
      <c r="W462" s="156" t="str">
        <f>+VLOOKUP($L462,Data_Validation!$A:$E,5,0)</f>
        <v>$</v>
      </c>
      <c r="X462" s="156">
        <f>+VLOOKUP($L462,Data_Validation!$A:$F,6,0)</f>
        <v>0</v>
      </c>
    </row>
    <row r="463" spans="1:24" ht="15" hidden="1" customHeight="1">
      <c r="A463" s="946" t="s">
        <v>1278</v>
      </c>
      <c r="B463" s="946" t="s">
        <v>2665</v>
      </c>
      <c r="C463" s="947">
        <v>4725</v>
      </c>
      <c r="D463" s="947">
        <v>787.5</v>
      </c>
      <c r="E463" s="947">
        <v>5512.5</v>
      </c>
      <c r="F463" s="946" t="s">
        <v>401</v>
      </c>
      <c r="G463" s="946" t="s">
        <v>2597</v>
      </c>
      <c r="H463" s="150"/>
      <c r="I463" s="157"/>
      <c r="J463" s="157"/>
      <c r="K463" s="157"/>
      <c r="L463" s="153" t="str">
        <f t="shared" si="18"/>
        <v>6793</v>
      </c>
      <c r="M463" s="154" t="str">
        <f t="shared" si="19"/>
        <v>AUTRES TAXES - PIECES</v>
      </c>
      <c r="N463" s="155">
        <f>+IF(OR($Q463=Parametres!$G$2,$Q463=Parametres!$G$3),I463,C463)</f>
        <v>4725</v>
      </c>
      <c r="O463" s="155">
        <f>+IF(OR($Q463=Parametres!$G$2,$Q463=Parametres!$G$3),J463,D463)</f>
        <v>787.5</v>
      </c>
      <c r="P463" s="155">
        <f>+IF(OR($Q463=Parametres!$G$2,$Q463=Parametres!$G$3),K463,E463)</f>
        <v>5512.5</v>
      </c>
      <c r="Q463" s="154" t="str">
        <f t="shared" si="32"/>
        <v>7-Dépenses</v>
      </c>
      <c r="R463" s="153" t="str">
        <f t="shared" si="32"/>
        <v>6193</v>
      </c>
      <c r="S463" s="154">
        <f t="shared" si="32"/>
        <v>0</v>
      </c>
      <c r="T463" s="156" t="str">
        <f>+VLOOKUP($L463,Data_Validation!$A:$D,1,0)</f>
        <v>6793</v>
      </c>
      <c r="U463" s="156" t="str">
        <f>+VLOOKUP($L463,Data_Validation!$A:$D,3,0)</f>
        <v>Pièces</v>
      </c>
      <c r="V463" s="156" t="str">
        <f>+VLOOKUP($L463,Data_Validation!$A:$D,4,0)</f>
        <v>Taxes d`affaires</v>
      </c>
      <c r="W463" s="156" t="str">
        <f>+VLOOKUP($L463,Data_Validation!$A:$E,5,0)</f>
        <v>$</v>
      </c>
      <c r="X463" s="156">
        <f>+VLOOKUP($L463,Data_Validation!$A:$F,6,0)</f>
        <v>0</v>
      </c>
    </row>
    <row r="464" spans="1:24" ht="15" hidden="1" customHeight="1">
      <c r="A464" s="946" t="s">
        <v>1371</v>
      </c>
      <c r="B464" s="946" t="s">
        <v>2703</v>
      </c>
      <c r="C464" s="947">
        <v>12037.5</v>
      </c>
      <c r="D464" s="947">
        <v>2006.25</v>
      </c>
      <c r="E464" s="947">
        <v>14043.75</v>
      </c>
      <c r="F464" s="946" t="s">
        <v>401</v>
      </c>
      <c r="G464" s="946" t="s">
        <v>2635</v>
      </c>
      <c r="H464" s="150"/>
      <c r="I464" s="157"/>
      <c r="J464" s="157"/>
      <c r="K464" s="157"/>
      <c r="L464" s="153" t="str">
        <f t="shared" si="18"/>
        <v>6794</v>
      </c>
      <c r="M464" s="154" t="str">
        <f t="shared" si="19"/>
        <v>FRAIS PROFESSIONNEL-PIECES</v>
      </c>
      <c r="N464" s="155">
        <f>+IF(OR($Q464=Parametres!$G$2,$Q464=Parametres!$G$3),I464,C464)</f>
        <v>12037.5</v>
      </c>
      <c r="O464" s="155">
        <f>+IF(OR($Q464=Parametres!$G$2,$Q464=Parametres!$G$3),J464,D464)</f>
        <v>2006.25</v>
      </c>
      <c r="P464" s="155">
        <f>+IF(OR($Q464=Parametres!$G$2,$Q464=Parametres!$G$3),K464,E464)</f>
        <v>14043.75</v>
      </c>
      <c r="Q464" s="154" t="str">
        <f t="shared" si="32"/>
        <v>7-Dépenses</v>
      </c>
      <c r="R464" s="153" t="str">
        <f t="shared" si="32"/>
        <v>6194</v>
      </c>
      <c r="S464" s="154">
        <f t="shared" si="32"/>
        <v>0</v>
      </c>
      <c r="T464" s="156" t="str">
        <f>+VLOOKUP($L464,Data_Validation!$A:$D,1,0)</f>
        <v>6794</v>
      </c>
      <c r="U464" s="156" t="str">
        <f>+VLOOKUP($L464,Data_Validation!$A:$D,3,0)</f>
        <v>Pièces</v>
      </c>
      <c r="V464" s="156" t="str">
        <f>+VLOOKUP($L464,Data_Validation!$A:$D,4,0)</f>
        <v>Honoraires</v>
      </c>
      <c r="W464" s="156" t="str">
        <f>+VLOOKUP($L464,Data_Validation!$A:$E,5,0)</f>
        <v>$</v>
      </c>
      <c r="X464" s="156">
        <f>+VLOOKUP($L464,Data_Validation!$A:$F,6,0)</f>
        <v>0</v>
      </c>
    </row>
    <row r="465" spans="1:24" ht="15" hidden="1" customHeight="1">
      <c r="A465" s="946" t="s">
        <v>2053</v>
      </c>
      <c r="B465" s="946" t="s">
        <v>2054</v>
      </c>
      <c r="C465" s="947">
        <v>-482927.85</v>
      </c>
      <c r="D465" s="947">
        <v>-119566</v>
      </c>
      <c r="E465" s="947">
        <v>-602493.85</v>
      </c>
      <c r="F465" s="946" t="s">
        <v>304</v>
      </c>
      <c r="G465" s="946" t="s">
        <v>2055</v>
      </c>
      <c r="H465" s="150"/>
      <c r="I465" s="157"/>
      <c r="J465" s="157"/>
      <c r="K465" s="157"/>
      <c r="L465" s="153" t="str">
        <f t="shared" si="18"/>
        <v>9149</v>
      </c>
      <c r="M465" s="154" t="str">
        <f t="shared" si="19"/>
        <v>REVENU RESERVE VOLKS</v>
      </c>
      <c r="N465" s="155">
        <f>+IF(OR($Q465=Parametres!$G$2,$Q465=Parametres!$G$3),I465,C465)</f>
        <v>-482927.85</v>
      </c>
      <c r="O465" s="155">
        <f>+IF(OR($Q465=Parametres!$G$2,$Q465=Parametres!$G$3),J465,D465)</f>
        <v>-119566</v>
      </c>
      <c r="P465" s="155">
        <f>+IF(OR($Q465=Parametres!$G$2,$Q465=Parametres!$G$3),K465,E465)</f>
        <v>-602493.85</v>
      </c>
      <c r="Q465" s="154" t="str">
        <f t="shared" si="32"/>
        <v>8-Autres revenus</v>
      </c>
      <c r="R465" s="153" t="str">
        <f t="shared" si="32"/>
        <v>9101</v>
      </c>
      <c r="S465" s="154">
        <f t="shared" si="32"/>
        <v>0</v>
      </c>
      <c r="T465" s="156" t="str">
        <f>+VLOOKUP($L465,Data_Validation!$A:$D,1,0)</f>
        <v>9149</v>
      </c>
      <c r="U465" s="156" t="str">
        <f>+VLOOKUP($L465,Data_Validation!$A:$D,3,0)</f>
        <v>Véhicules neufs</v>
      </c>
      <c r="V465" s="156" t="str">
        <f>+VLOOKUP($L465,Data_Validation!$A:$D,4,0)</f>
        <v>Holdbacks</v>
      </c>
      <c r="W465" s="156" t="str">
        <f>+VLOOKUP($L465,Data_Validation!$A:$E,5,0)</f>
        <v>$</v>
      </c>
      <c r="X465" s="156">
        <f>+VLOOKUP($L465,Data_Validation!$A:$F,6,0)</f>
        <v>0</v>
      </c>
    </row>
    <row r="466" spans="1:24" ht="15" hidden="1" customHeight="1">
      <c r="A466" s="946" t="s">
        <v>2138</v>
      </c>
      <c r="B466" s="946" t="s">
        <v>2139</v>
      </c>
      <c r="C466" s="947">
        <v>-30562.95</v>
      </c>
      <c r="D466" s="947">
        <v>254.39</v>
      </c>
      <c r="E466" s="947">
        <v>-30308.560000000001</v>
      </c>
      <c r="F466" s="946" t="s">
        <v>304</v>
      </c>
      <c r="G466" s="946" t="s">
        <v>2139</v>
      </c>
      <c r="H466" s="150"/>
      <c r="I466" s="157"/>
      <c r="J466" s="157"/>
      <c r="K466" s="157"/>
      <c r="L466" s="153" t="str">
        <f t="shared" si="18"/>
        <v>9152</v>
      </c>
      <c r="M466" s="154" t="str">
        <f t="shared" si="19"/>
        <v>ESCOMPTES SUR ACHAT PIECES</v>
      </c>
      <c r="N466" s="155">
        <f>+IF(OR($Q466=Parametres!$G$2,$Q466=Parametres!$G$3),I466,C466)</f>
        <v>-30562.95</v>
      </c>
      <c r="O466" s="155">
        <f>+IF(OR($Q466=Parametres!$G$2,$Q466=Parametres!$G$3),J466,D466)</f>
        <v>254.39</v>
      </c>
      <c r="P466" s="155">
        <f>+IF(OR($Q466=Parametres!$G$2,$Q466=Parametres!$G$3),K466,E466)</f>
        <v>-30308.560000000001</v>
      </c>
      <c r="Q466" s="154" t="str">
        <f t="shared" ref="Q466:S481" si="33">+F466</f>
        <v>8-Autres revenus</v>
      </c>
      <c r="R466" s="153" t="str">
        <f t="shared" si="33"/>
        <v>9152</v>
      </c>
      <c r="S466" s="154">
        <f t="shared" si="33"/>
        <v>0</v>
      </c>
      <c r="T466" s="156" t="str">
        <f>+VLOOKUP($L466,Data_Validation!$A:$D,1,0)</f>
        <v>9152</v>
      </c>
      <c r="U466" s="156" t="str">
        <f>+VLOOKUP($L466,Data_Validation!$A:$D,3,0)</f>
        <v>Pièces</v>
      </c>
      <c r="V466" s="156" t="str">
        <f>+VLOOKUP($L466,Data_Validation!$A:$D,4,0)</f>
        <v>Escomptes</v>
      </c>
      <c r="W466" s="156" t="str">
        <f>+VLOOKUP($L466,Data_Validation!$A:$E,5,0)</f>
        <v>$</v>
      </c>
      <c r="X466" s="156">
        <f>+VLOOKUP($L466,Data_Validation!$A:$F,6,0)</f>
        <v>0</v>
      </c>
    </row>
    <row r="467" spans="1:24" ht="15.75" hidden="1" customHeight="1">
      <c r="A467" s="946" t="s">
        <v>2077</v>
      </c>
      <c r="B467" s="946" t="s">
        <v>2078</v>
      </c>
      <c r="C467" s="947">
        <v>-122478</v>
      </c>
      <c r="D467" s="947">
        <v>-35157.39</v>
      </c>
      <c r="E467" s="947">
        <v>-157635.39000000001</v>
      </c>
      <c r="F467" s="946" t="s">
        <v>304</v>
      </c>
      <c r="G467" s="946" t="s">
        <v>2079</v>
      </c>
      <c r="H467" s="150"/>
      <c r="I467" s="157"/>
      <c r="J467" s="157"/>
      <c r="K467" s="157"/>
      <c r="L467" s="153" t="str">
        <f t="shared" si="18"/>
        <v>9157</v>
      </c>
      <c r="M467" s="154" t="str">
        <f t="shared" si="19"/>
        <v>PRIMES DE RENDEMENT (ToT)- BONUS EXPERIENCE +</v>
      </c>
      <c r="N467" s="155">
        <f>+IF(OR($Q467=Parametres!$G$2,$Q467=Parametres!$G$3),I467,C467)</f>
        <v>-122478</v>
      </c>
      <c r="O467" s="155">
        <f>+IF(OR($Q467=Parametres!$G$2,$Q467=Parametres!$G$3),J467,D467)</f>
        <v>-35157.39</v>
      </c>
      <c r="P467" s="155">
        <f>+IF(OR($Q467=Parametres!$G$2,$Q467=Parametres!$G$3),K467,E467)</f>
        <v>-157635.39000000001</v>
      </c>
      <c r="Q467" s="154" t="str">
        <f t="shared" si="33"/>
        <v>8-Autres revenus</v>
      </c>
      <c r="R467" s="153" t="str">
        <f t="shared" si="33"/>
        <v>915</v>
      </c>
      <c r="S467" s="154">
        <f t="shared" si="33"/>
        <v>0</v>
      </c>
      <c r="T467" s="156" t="str">
        <f>+VLOOKUP($L467,Data_Validation!$A:$D,1,0)</f>
        <v>9157</v>
      </c>
      <c r="U467" s="156" t="str">
        <f>+VLOOKUP($L467,Data_Validation!$A:$D,3,0)</f>
        <v>Véhicules neufs</v>
      </c>
      <c r="V467" s="156" t="str">
        <f>+VLOOKUP($L467,Data_Validation!$A:$D,4,0)</f>
        <v>Programme neuf 1</v>
      </c>
      <c r="W467" s="156" t="str">
        <f>+VLOOKUP($L467,Data_Validation!$A:$E,5,0)</f>
        <v>$</v>
      </c>
      <c r="X467" s="156">
        <f>+VLOOKUP($L467,Data_Validation!$A:$F,6,0)</f>
        <v>0</v>
      </c>
    </row>
    <row r="468" spans="1:24" ht="15" hidden="1" customHeight="1">
      <c r="A468" s="946" t="s">
        <v>2170</v>
      </c>
      <c r="B468" s="946" t="s">
        <v>2076</v>
      </c>
      <c r="C468" s="947">
        <v>-45542.13</v>
      </c>
      <c r="D468" s="947">
        <v>-5245.56</v>
      </c>
      <c r="E468" s="947">
        <v>-50787.69</v>
      </c>
      <c r="F468" s="946" t="s">
        <v>304</v>
      </c>
      <c r="G468" s="946" t="s">
        <v>2076</v>
      </c>
      <c r="H468" s="150"/>
      <c r="I468" s="157"/>
      <c r="J468" s="157"/>
      <c r="K468" s="157"/>
      <c r="L468" s="153" t="str">
        <f t="shared" si="18"/>
        <v>9161</v>
      </c>
      <c r="M468" s="154" t="str">
        <f t="shared" si="19"/>
        <v>REVENU FIN ET ASS NEUF</v>
      </c>
      <c r="N468" s="155">
        <f>+IF(OR($Q468=Parametres!$G$2,$Q468=Parametres!$G$3),I468,C468)</f>
        <v>-45542.13</v>
      </c>
      <c r="O468" s="155">
        <f>+IF(OR($Q468=Parametres!$G$2,$Q468=Parametres!$G$3),J468,D468)</f>
        <v>-5245.56</v>
      </c>
      <c r="P468" s="155">
        <f>+IF(OR($Q468=Parametres!$G$2,$Q468=Parametres!$G$3),K468,E468)</f>
        <v>-50787.69</v>
      </c>
      <c r="Q468" s="154" t="str">
        <f t="shared" si="33"/>
        <v>8-Autres revenus</v>
      </c>
      <c r="R468" s="153" t="str">
        <f t="shared" si="33"/>
        <v>9161</v>
      </c>
      <c r="S468" s="154">
        <f t="shared" si="33"/>
        <v>0</v>
      </c>
      <c r="T468" s="156" t="str">
        <f>+VLOOKUP($L468,Data_Validation!$A:$D,1,0)</f>
        <v>9161</v>
      </c>
      <c r="U468" s="156" t="str">
        <f>+VLOOKUP($L468,Data_Validation!$A:$D,3,0)</f>
        <v>Véhicules neufs</v>
      </c>
      <c r="V468" s="156" t="str">
        <f>+VLOOKUP($L468,Data_Validation!$A:$D,4,0)</f>
        <v>Rev. Finances</v>
      </c>
      <c r="W468" s="156" t="str">
        <f>+VLOOKUP($L468,Data_Validation!$A:$E,5,0)</f>
        <v>$</v>
      </c>
      <c r="X468" s="156" t="str">
        <f>+VLOOKUP($L468,Data_Validation!$A:$F,6,0)</f>
        <v>Oui</v>
      </c>
    </row>
    <row r="469" spans="1:24" ht="15" hidden="1" customHeight="1">
      <c r="A469" s="946" t="s">
        <v>2084</v>
      </c>
      <c r="B469" s="946" t="s">
        <v>2085</v>
      </c>
      <c r="C469" s="947">
        <v>-96008.71</v>
      </c>
      <c r="D469" s="947">
        <v>-22329.279999999999</v>
      </c>
      <c r="E469" s="947">
        <v>-118337.99</v>
      </c>
      <c r="F469" s="946" t="s">
        <v>304</v>
      </c>
      <c r="G469" s="946" t="s">
        <v>2085</v>
      </c>
      <c r="H469" s="150"/>
      <c r="I469" s="157"/>
      <c r="J469" s="157"/>
      <c r="K469" s="157"/>
      <c r="L469" s="153" t="str">
        <f t="shared" si="18"/>
        <v>9163</v>
      </c>
      <c r="M469" s="154" t="str">
        <f t="shared" si="19"/>
        <v>RESERVE FIN ET ASS VEH OCCASION</v>
      </c>
      <c r="N469" s="155">
        <f>+IF(OR($Q469=Parametres!$G$2,$Q469=Parametres!$G$3),I469,C469)</f>
        <v>-96008.71</v>
      </c>
      <c r="O469" s="155">
        <f>+IF(OR($Q469=Parametres!$G$2,$Q469=Parametres!$G$3),J469,D469)</f>
        <v>-22329.279999999999</v>
      </c>
      <c r="P469" s="155">
        <f>+IF(OR($Q469=Parametres!$G$2,$Q469=Parametres!$G$3),K469,E469)</f>
        <v>-118337.99</v>
      </c>
      <c r="Q469" s="154" t="str">
        <f t="shared" si="33"/>
        <v>8-Autres revenus</v>
      </c>
      <c r="R469" s="153" t="str">
        <f t="shared" si="33"/>
        <v>9163</v>
      </c>
      <c r="S469" s="154">
        <f t="shared" si="33"/>
        <v>0</v>
      </c>
      <c r="T469" s="156" t="str">
        <f>+VLOOKUP($L469,Data_Validation!$A:$D,1,0)</f>
        <v>9163</v>
      </c>
      <c r="U469" s="156" t="str">
        <f>+VLOOKUP($L469,Data_Validation!$A:$D,3,0)</f>
        <v>Véhicules usagés</v>
      </c>
      <c r="V469" s="156" t="str">
        <f>+VLOOKUP($L469,Data_Validation!$A:$D,4,0)</f>
        <v>Rev. Finances</v>
      </c>
      <c r="W469" s="156" t="str">
        <f>+VLOOKUP($L469,Data_Validation!$A:$E,5,0)</f>
        <v>$</v>
      </c>
      <c r="X469" s="156" t="str">
        <f>+VLOOKUP($L469,Data_Validation!$A:$F,6,0)</f>
        <v>Oui</v>
      </c>
    </row>
    <row r="470" spans="1:24" ht="15" hidden="1" customHeight="1">
      <c r="A470" s="946" t="s">
        <v>2171</v>
      </c>
      <c r="B470" s="946" t="s">
        <v>2172</v>
      </c>
      <c r="C470" s="947">
        <v>-11833.03</v>
      </c>
      <c r="D470" s="947">
        <v>-2220.89</v>
      </c>
      <c r="E470" s="947">
        <v>-14053.92</v>
      </c>
      <c r="F470" s="946" t="s">
        <v>304</v>
      </c>
      <c r="G470" s="946" t="s">
        <v>2076</v>
      </c>
      <c r="H470" s="150"/>
      <c r="I470" s="157"/>
      <c r="J470" s="157"/>
      <c r="K470" s="157"/>
      <c r="L470" s="153" t="str">
        <f t="shared" si="18"/>
        <v>9165</v>
      </c>
      <c r="M470" s="154" t="str">
        <f t="shared" si="19"/>
        <v>REV. ASSURANCES NEUF</v>
      </c>
      <c r="N470" s="155">
        <f>+IF(OR($Q470=Parametres!$G$2,$Q470=Parametres!$G$3),I470,C470)</f>
        <v>-11833.03</v>
      </c>
      <c r="O470" s="155">
        <f>+IF(OR($Q470=Parametres!$G$2,$Q470=Parametres!$G$3),J470,D470)</f>
        <v>-2220.89</v>
      </c>
      <c r="P470" s="155">
        <f>+IF(OR($Q470=Parametres!$G$2,$Q470=Parametres!$G$3),K470,E470)</f>
        <v>-14053.92</v>
      </c>
      <c r="Q470" s="154" t="str">
        <f t="shared" si="33"/>
        <v>8-Autres revenus</v>
      </c>
      <c r="R470" s="153" t="str">
        <f t="shared" si="33"/>
        <v>9161</v>
      </c>
      <c r="S470" s="154">
        <f t="shared" si="33"/>
        <v>0</v>
      </c>
      <c r="T470" s="156" t="str">
        <f>+VLOOKUP($L470,Data_Validation!$A:$D,1,0)</f>
        <v>9165</v>
      </c>
      <c r="U470" s="156" t="str">
        <f>+VLOOKUP($L470,Data_Validation!$A:$D,3,0)</f>
        <v>Véhicules neufs</v>
      </c>
      <c r="V470" s="156" t="str">
        <f>+VLOOKUP($L470,Data_Validation!$A:$D,4,0)</f>
        <v>Rev. Autres</v>
      </c>
      <c r="W470" s="156" t="str">
        <f>+VLOOKUP($L470,Data_Validation!$A:$E,5,0)</f>
        <v>$</v>
      </c>
      <c r="X470" s="156" t="str">
        <f>+VLOOKUP($L470,Data_Validation!$A:$F,6,0)</f>
        <v>Oui</v>
      </c>
    </row>
    <row r="471" spans="1:24" ht="15" hidden="1" customHeight="1">
      <c r="A471" s="946" t="s">
        <v>2179</v>
      </c>
      <c r="B471" s="946" t="s">
        <v>2180</v>
      </c>
      <c r="C471" s="947">
        <v>-8511.76</v>
      </c>
      <c r="D471" s="947">
        <v>-3674.67</v>
      </c>
      <c r="E471" s="947">
        <v>-12186.43</v>
      </c>
      <c r="F471" s="946" t="s">
        <v>304</v>
      </c>
      <c r="G471" s="946" t="s">
        <v>2085</v>
      </c>
      <c r="H471" s="150"/>
      <c r="I471" s="157"/>
      <c r="J471" s="157"/>
      <c r="K471" s="157"/>
      <c r="L471" s="153" t="str">
        <f t="shared" si="18"/>
        <v>9167</v>
      </c>
      <c r="M471" s="154" t="str">
        <f t="shared" si="19"/>
        <v>REV ASSURANCE USAGE</v>
      </c>
      <c r="N471" s="155">
        <f>+IF(OR($Q471=Parametres!$G$2,$Q471=Parametres!$G$3),I471,C471)</f>
        <v>-8511.76</v>
      </c>
      <c r="O471" s="575">
        <f>+IF(OR($Q471=Parametres!$G$2,$Q471=Parametres!$G$3),J471,D471)</f>
        <v>-3674.67</v>
      </c>
      <c r="P471" s="155">
        <f>+IF(OR($Q471=Parametres!$G$2,$Q471=Parametres!$G$3),K471,E471)</f>
        <v>-12186.43</v>
      </c>
      <c r="Q471" s="154" t="str">
        <f t="shared" si="33"/>
        <v>8-Autres revenus</v>
      </c>
      <c r="R471" s="153" t="str">
        <f t="shared" si="33"/>
        <v>9163</v>
      </c>
      <c r="S471" s="154">
        <f t="shared" si="33"/>
        <v>0</v>
      </c>
      <c r="T471" s="156" t="str">
        <f>+VLOOKUP($L471,Data_Validation!$A:$D,1,0)</f>
        <v>9167</v>
      </c>
      <c r="U471" s="156" t="str">
        <f>+VLOOKUP($L471,Data_Validation!$A:$D,3,0)</f>
        <v>Véhicules usagés</v>
      </c>
      <c r="V471" s="156" t="str">
        <f>+VLOOKUP($L471,Data_Validation!$A:$D,4,0)</f>
        <v>Rev. Autres</v>
      </c>
      <c r="W471" s="156" t="str">
        <f>+VLOOKUP($L471,Data_Validation!$A:$E,5,0)</f>
        <v>$</v>
      </c>
      <c r="X471" s="156" t="str">
        <f>+VLOOKUP($L471,Data_Validation!$A:$F,6,0)</f>
        <v>Oui</v>
      </c>
    </row>
    <row r="472" spans="1:24" ht="15" hidden="1" customHeight="1">
      <c r="A472" s="946" t="s">
        <v>2092</v>
      </c>
      <c r="B472" s="946" t="s">
        <v>2093</v>
      </c>
      <c r="C472" s="947">
        <v>-75305.279999999999</v>
      </c>
      <c r="D472" s="947">
        <v>-6915</v>
      </c>
      <c r="E472" s="947">
        <v>-82220.28</v>
      </c>
      <c r="F472" s="946" t="s">
        <v>304</v>
      </c>
      <c r="G472" s="946" t="s">
        <v>2076</v>
      </c>
      <c r="H472" s="150"/>
      <c r="I472" s="157"/>
      <c r="J472" s="157"/>
      <c r="K472" s="157"/>
      <c r="L472" s="153" t="str">
        <f t="shared" si="18"/>
        <v>9169</v>
      </c>
      <c r="M472" s="154" t="str">
        <f t="shared" si="19"/>
        <v>REV GARANTIE PROLONGEE NEUF</v>
      </c>
      <c r="N472" s="155">
        <f>+IF(OR($Q472=Parametres!$G$2,$Q472=Parametres!$G$3),I472,C472)</f>
        <v>-75305.279999999999</v>
      </c>
      <c r="O472" s="155">
        <f>+IF(OR($Q472=Parametres!$G$2,$Q472=Parametres!$G$3),J472,D472)</f>
        <v>-6915</v>
      </c>
      <c r="P472" s="155">
        <f>+IF(OR($Q472=Parametres!$G$2,$Q472=Parametres!$G$3),K472,E472)</f>
        <v>-82220.28</v>
      </c>
      <c r="Q472" s="154" t="str">
        <f t="shared" si="33"/>
        <v>8-Autres revenus</v>
      </c>
      <c r="R472" s="153" t="str">
        <f t="shared" si="33"/>
        <v>9161</v>
      </c>
      <c r="S472" s="154">
        <f t="shared" si="33"/>
        <v>0</v>
      </c>
      <c r="T472" s="156" t="str">
        <f>+VLOOKUP($L472,Data_Validation!$A:$D,1,0)</f>
        <v>9169</v>
      </c>
      <c r="U472" s="156" t="str">
        <f>+VLOOKUP($L472,Data_Validation!$A:$D,3,0)</f>
        <v>Véhicules neufs</v>
      </c>
      <c r="V472" s="156" t="str">
        <f>+VLOOKUP($L472,Data_Validation!$A:$D,4,0)</f>
        <v>Rev. Protections</v>
      </c>
      <c r="W472" s="156" t="str">
        <f>+VLOOKUP($L472,Data_Validation!$A:$E,5,0)</f>
        <v>$</v>
      </c>
      <c r="X472" s="156" t="str">
        <f>+VLOOKUP($L472,Data_Validation!$A:$F,6,0)</f>
        <v>Oui</v>
      </c>
    </row>
    <row r="473" spans="1:24" ht="15.75" hidden="1" customHeight="1">
      <c r="A473" s="946" t="s">
        <v>2074</v>
      </c>
      <c r="B473" s="946" t="s">
        <v>2075</v>
      </c>
      <c r="C473" s="947">
        <v>-151598.76</v>
      </c>
      <c r="D473" s="947">
        <v>-31755.47</v>
      </c>
      <c r="E473" s="947">
        <v>-183354.23</v>
      </c>
      <c r="F473" s="946" t="s">
        <v>304</v>
      </c>
      <c r="G473" s="946" t="s">
        <v>2076</v>
      </c>
      <c r="H473" s="150"/>
      <c r="I473" s="157"/>
      <c r="J473" s="157"/>
      <c r="K473" s="157"/>
      <c r="L473" s="153" t="str">
        <f t="shared" si="18"/>
        <v>9170</v>
      </c>
      <c r="M473" s="154" t="str">
        <f t="shared" si="19"/>
        <v>PROFIT PROTECTIONS - NEUFS</v>
      </c>
      <c r="N473" s="155">
        <f>+IF(OR($Q473=Parametres!$G$2,$Q473=Parametres!$G$3),I473,C473)</f>
        <v>-151598.76</v>
      </c>
      <c r="O473" s="155">
        <f>+IF(OR($Q473=Parametres!$G$2,$Q473=Parametres!$G$3),J473,D473)</f>
        <v>-31755.47</v>
      </c>
      <c r="P473" s="155">
        <f>+IF(OR($Q473=Parametres!$G$2,$Q473=Parametres!$G$3),K473,E473)</f>
        <v>-183354.23</v>
      </c>
      <c r="Q473" s="154" t="str">
        <f t="shared" si="33"/>
        <v>8-Autres revenus</v>
      </c>
      <c r="R473" s="153" t="str">
        <f t="shared" si="33"/>
        <v>9161</v>
      </c>
      <c r="S473" s="154">
        <f t="shared" si="33"/>
        <v>0</v>
      </c>
      <c r="T473" s="156" t="str">
        <f>+VLOOKUP($L473,Data_Validation!$A:$D,1,0)</f>
        <v>9170</v>
      </c>
      <c r="U473" s="156" t="str">
        <f>+VLOOKUP($L473,Data_Validation!$A:$D,3,0)</f>
        <v>Véhicules neufs</v>
      </c>
      <c r="V473" s="156" t="str">
        <f>+VLOOKUP($L473,Data_Validation!$A:$D,4,0)</f>
        <v>Rev. Protections</v>
      </c>
      <c r="W473" s="156" t="str">
        <f>+VLOOKUP($L473,Data_Validation!$A:$E,5,0)</f>
        <v>$</v>
      </c>
      <c r="X473" s="156" t="str">
        <f>+VLOOKUP($L473,Data_Validation!$A:$F,6,0)</f>
        <v>Oui</v>
      </c>
    </row>
    <row r="474" spans="1:24" ht="15" hidden="1" customHeight="1">
      <c r="A474" s="946" t="s">
        <v>2088</v>
      </c>
      <c r="B474" s="946" t="s">
        <v>2089</v>
      </c>
      <c r="C474" s="947">
        <v>-92013.56</v>
      </c>
      <c r="D474" s="947">
        <v>-19068.38</v>
      </c>
      <c r="E474" s="947">
        <v>-111081.94</v>
      </c>
      <c r="F474" s="946" t="s">
        <v>304</v>
      </c>
      <c r="G474" s="946" t="s">
        <v>2085</v>
      </c>
      <c r="H474" s="150"/>
      <c r="I474" s="157"/>
      <c r="J474" s="157"/>
      <c r="K474" s="157"/>
      <c r="L474" s="153" t="str">
        <f t="shared" si="18"/>
        <v>9171</v>
      </c>
      <c r="M474" s="154" t="str">
        <f t="shared" si="19"/>
        <v>REV GARANTIE PROLONGEE USAGE</v>
      </c>
      <c r="N474" s="155">
        <f>+IF(OR($Q474=Parametres!$G$2,$Q474=Parametres!$G$3),I474,C474)</f>
        <v>-92013.56</v>
      </c>
      <c r="O474" s="155">
        <f>+IF(OR($Q474=Parametres!$G$2,$Q474=Parametres!$G$3),J474,D474)</f>
        <v>-19068.38</v>
      </c>
      <c r="P474" s="155">
        <f>+IF(OR($Q474=Parametres!$G$2,$Q474=Parametres!$G$3),K474,E474)</f>
        <v>-111081.94</v>
      </c>
      <c r="Q474" s="154" t="str">
        <f t="shared" si="33"/>
        <v>8-Autres revenus</v>
      </c>
      <c r="R474" s="153" t="str">
        <f t="shared" si="33"/>
        <v>9163</v>
      </c>
      <c r="S474" s="154">
        <f t="shared" si="33"/>
        <v>0</v>
      </c>
      <c r="T474" s="156" t="str">
        <f>+VLOOKUP($L474,Data_Validation!$A:$D,1,0)</f>
        <v>9171</v>
      </c>
      <c r="U474" s="156" t="str">
        <f>+VLOOKUP($L474,Data_Validation!$A:$D,3,0)</f>
        <v>Véhicules usagés</v>
      </c>
      <c r="V474" s="156" t="str">
        <f>+VLOOKUP($L474,Data_Validation!$A:$D,4,0)</f>
        <v>Rev. Protections</v>
      </c>
      <c r="W474" s="156" t="str">
        <f>+VLOOKUP($L474,Data_Validation!$A:$E,5,0)</f>
        <v>$</v>
      </c>
      <c r="X474" s="156" t="str">
        <f>+VLOOKUP($L474,Data_Validation!$A:$F,6,0)</f>
        <v>Oui</v>
      </c>
    </row>
    <row r="475" spans="1:24" ht="15" hidden="1" customHeight="1">
      <c r="A475" s="946" t="s">
        <v>2096</v>
      </c>
      <c r="B475" s="946" t="s">
        <v>2097</v>
      </c>
      <c r="C475" s="947">
        <v>-38066.230000000003</v>
      </c>
      <c r="D475" s="947">
        <v>-10000.59</v>
      </c>
      <c r="E475" s="947">
        <v>-48066.82</v>
      </c>
      <c r="F475" s="946" t="s">
        <v>304</v>
      </c>
      <c r="G475" s="946" t="s">
        <v>2085</v>
      </c>
      <c r="H475" s="150"/>
      <c r="I475" s="157"/>
      <c r="J475" s="157"/>
      <c r="K475" s="157"/>
      <c r="L475" s="153" t="str">
        <f t="shared" si="18"/>
        <v>9172</v>
      </c>
      <c r="M475" s="154" t="str">
        <f t="shared" si="19"/>
        <v>PROFIT PROTECTIONS - USAGES</v>
      </c>
      <c r="N475" s="155">
        <f>+IF(OR($Q475=Parametres!$G$2,$Q475=Parametres!$G$3),I475,C475)</f>
        <v>-38066.230000000003</v>
      </c>
      <c r="O475" s="155">
        <f>+IF(OR($Q475=Parametres!$G$2,$Q475=Parametres!$G$3),J475,D475)</f>
        <v>-10000.59</v>
      </c>
      <c r="P475" s="155">
        <f>+IF(OR($Q475=Parametres!$G$2,$Q475=Parametres!$G$3),K475,E475)</f>
        <v>-48066.82</v>
      </c>
      <c r="Q475" s="154" t="str">
        <f t="shared" si="33"/>
        <v>8-Autres revenus</v>
      </c>
      <c r="R475" s="153" t="str">
        <f t="shared" si="33"/>
        <v>9163</v>
      </c>
      <c r="S475" s="154">
        <f t="shared" si="33"/>
        <v>0</v>
      </c>
      <c r="T475" s="156" t="str">
        <f>+VLOOKUP($L475,Data_Validation!$A:$D,1,0)</f>
        <v>9172</v>
      </c>
      <c r="U475" s="156" t="str">
        <f>+VLOOKUP($L475,Data_Validation!$A:$D,3,0)</f>
        <v>Véhicules usagés</v>
      </c>
      <c r="V475" s="156" t="str">
        <f>+VLOOKUP($L475,Data_Validation!$A:$D,4,0)</f>
        <v>Rev. Protections</v>
      </c>
      <c r="W475" s="156" t="str">
        <f>+VLOOKUP($L475,Data_Validation!$A:$E,5,0)</f>
        <v>$</v>
      </c>
      <c r="X475" s="156" t="str">
        <f>+VLOOKUP($L475,Data_Validation!$A:$F,6,0)</f>
        <v>Oui</v>
      </c>
    </row>
    <row r="476" spans="1:24" ht="15" hidden="1" customHeight="1">
      <c r="A476" s="946" t="s">
        <v>2080</v>
      </c>
      <c r="B476" s="946" t="s">
        <v>2081</v>
      </c>
      <c r="C476" s="947">
        <v>-160290.25</v>
      </c>
      <c r="D476" s="947">
        <v>-34732</v>
      </c>
      <c r="E476" s="947">
        <v>-195022.25</v>
      </c>
      <c r="F476" s="946" t="s">
        <v>304</v>
      </c>
      <c r="G476" s="946" t="s">
        <v>2063</v>
      </c>
      <c r="H476" s="150"/>
      <c r="I476" s="157"/>
      <c r="J476" s="157"/>
      <c r="K476" s="157"/>
      <c r="L476" s="153" t="str">
        <f t="shared" si="18"/>
        <v>9173</v>
      </c>
      <c r="M476" s="154" t="str">
        <f t="shared" si="19"/>
        <v>FRAIS ADMIN. VOLKS</v>
      </c>
      <c r="N476" s="155">
        <f>+IF(OR($Q476=Parametres!$G$2,$Q476=Parametres!$G$3),I476,C476)</f>
        <v>-160290.25</v>
      </c>
      <c r="O476" s="155">
        <f>+IF(OR($Q476=Parametres!$G$2,$Q476=Parametres!$G$3),J476,D476)</f>
        <v>-34732</v>
      </c>
      <c r="P476" s="155">
        <f>+IF(OR($Q476=Parametres!$G$2,$Q476=Parametres!$G$3),K476,E476)</f>
        <v>-195022.25</v>
      </c>
      <c r="Q476" s="154" t="str">
        <f t="shared" si="33"/>
        <v>8-Autres revenus</v>
      </c>
      <c r="R476" s="153" t="str">
        <f t="shared" si="33"/>
        <v>9191</v>
      </c>
      <c r="S476" s="154">
        <f t="shared" si="33"/>
        <v>0</v>
      </c>
      <c r="T476" s="156" t="str">
        <f>+VLOOKUP($L476,Data_Validation!$A:$D,1,0)</f>
        <v>9173</v>
      </c>
      <c r="U476" s="156" t="str">
        <f>+VLOOKUP($L476,Data_Validation!$A:$D,3,0)</f>
        <v>Véhicules neufs</v>
      </c>
      <c r="V476" s="156" t="str">
        <f>+VLOOKUP($L476,Data_Validation!$A:$D,4,0)</f>
        <v>Frais administration</v>
      </c>
      <c r="W476" s="156" t="str">
        <f>+VLOOKUP($L476,Data_Validation!$A:$E,5,0)</f>
        <v>$</v>
      </c>
      <c r="X476" s="156">
        <f>+VLOOKUP($L476,Data_Validation!$A:$F,6,0)</f>
        <v>0</v>
      </c>
    </row>
    <row r="477" spans="1:24" ht="15.75" hidden="1" customHeight="1">
      <c r="A477" s="946" t="s">
        <v>2062</v>
      </c>
      <c r="B477" s="946" t="s">
        <v>2063</v>
      </c>
      <c r="C477" s="947">
        <v>-208536.7</v>
      </c>
      <c r="D477" s="947">
        <v>-860.07</v>
      </c>
      <c r="E477" s="947">
        <v>-209396.77</v>
      </c>
      <c r="F477" s="946" t="s">
        <v>304</v>
      </c>
      <c r="G477" s="946" t="s">
        <v>2063</v>
      </c>
      <c r="H477" s="150"/>
      <c r="I477" s="157"/>
      <c r="J477" s="157"/>
      <c r="K477" s="157"/>
      <c r="L477" s="153" t="str">
        <f t="shared" si="18"/>
        <v>9191</v>
      </c>
      <c r="M477" s="154" t="str">
        <f t="shared" si="19"/>
        <v>REVENUS DIVERS</v>
      </c>
      <c r="N477" s="155">
        <f>+IF(OR($Q477=Parametres!$G$2,$Q477=Parametres!$G$3),I477,C477)</f>
        <v>-208536.7</v>
      </c>
      <c r="O477" s="155">
        <f>+IF(OR($Q477=Parametres!$G$2,$Q477=Parametres!$G$3),J477,D477)</f>
        <v>-860.07</v>
      </c>
      <c r="P477" s="155">
        <f>+IF(OR($Q477=Parametres!$G$2,$Q477=Parametres!$G$3),K477,E477)</f>
        <v>-209396.77</v>
      </c>
      <c r="Q477" s="154" t="str">
        <f t="shared" si="33"/>
        <v>8-Autres revenus</v>
      </c>
      <c r="R477" s="153" t="str">
        <f t="shared" si="33"/>
        <v>9191</v>
      </c>
      <c r="S477" s="154">
        <f t="shared" si="33"/>
        <v>0</v>
      </c>
      <c r="T477" s="156" t="str">
        <f>+VLOOKUP($L477,Data_Validation!$A:$D,1,0)</f>
        <v>9191</v>
      </c>
      <c r="U477" s="156" t="str">
        <f>+VLOOKUP($L477,Data_Validation!$A:$D,3,0)</f>
        <v>TOTAL  DES  REVENUS  ET  DÉPENSES</v>
      </c>
      <c r="V477" s="156" t="str">
        <f>+VLOOKUP($L477,Data_Validation!$A:$D,4,0)</f>
        <v>Revenus autres</v>
      </c>
      <c r="W477" s="156" t="str">
        <f>+VLOOKUP($L477,Data_Validation!$A:$E,5,0)</f>
        <v>$</v>
      </c>
      <c r="X477" s="156">
        <f>+VLOOKUP($L477,Data_Validation!$A:$F,6,0)</f>
        <v>0</v>
      </c>
    </row>
    <row r="478" spans="1:24" ht="15" hidden="1" customHeight="1">
      <c r="A478" s="946" t="s">
        <v>2650</v>
      </c>
      <c r="B478" s="946" t="s">
        <v>2176</v>
      </c>
      <c r="C478" s="947">
        <v>25544.67</v>
      </c>
      <c r="D478" s="947">
        <v>6054.64</v>
      </c>
      <c r="E478" s="947">
        <v>31599.31</v>
      </c>
      <c r="F478" s="946" t="s">
        <v>1235</v>
      </c>
      <c r="G478" s="946" t="s">
        <v>2176</v>
      </c>
      <c r="H478" s="150"/>
      <c r="I478" s="157"/>
      <c r="J478" s="157"/>
      <c r="K478" s="157"/>
      <c r="L478" s="153" t="str">
        <f t="shared" si="18"/>
        <v>9402</v>
      </c>
      <c r="M478" s="154" t="str">
        <f t="shared" si="19"/>
        <v>DEPENSE D'INTERETS</v>
      </c>
      <c r="N478" s="155">
        <f>+IF(OR($Q478=Parametres!$G$2,$Q478=Parametres!$G$3),I478,C478)</f>
        <v>25544.67</v>
      </c>
      <c r="O478" s="155">
        <f>+IF(OR($Q478=Parametres!$G$2,$Q478=Parametres!$G$3),J478,D478)</f>
        <v>6054.64</v>
      </c>
      <c r="P478" s="155">
        <f>+IF(OR($Q478=Parametres!$G$2,$Q478=Parametres!$G$3),K478,E478)</f>
        <v>31599.31</v>
      </c>
      <c r="Q478" s="154" t="str">
        <f t="shared" si="33"/>
        <v>9-Autres déductions</v>
      </c>
      <c r="R478" s="153" t="str">
        <f t="shared" si="33"/>
        <v>9402</v>
      </c>
      <c r="S478" s="154">
        <f t="shared" si="33"/>
        <v>0</v>
      </c>
      <c r="T478" s="156" t="str">
        <f>+VLOOKUP($L478,Data_Validation!$A:$D,1,0)</f>
        <v>9402</v>
      </c>
      <c r="U478" s="156" t="str">
        <f>+VLOOKUP($L478,Data_Validation!$A:$D,3,0)</f>
        <v>TOTAL  DES  REVENUS  ET  DÉPENSES</v>
      </c>
      <c r="V478" s="156" t="str">
        <f>+VLOOKUP($L478,Data_Validation!$A:$D,4,0)</f>
        <v>Intérêts sur prêt</v>
      </c>
      <c r="W478" s="156" t="str">
        <f>+VLOOKUP($L478,Data_Validation!$A:$E,5,0)</f>
        <v>$</v>
      </c>
      <c r="X478" s="156">
        <f>+VLOOKUP($L478,Data_Validation!$A:$F,6,0)</f>
        <v>0</v>
      </c>
    </row>
    <row r="479" spans="1:24" ht="15" hidden="1" customHeight="1">
      <c r="A479" s="946" t="s">
        <v>1385</v>
      </c>
      <c r="B479" s="946" t="s">
        <v>2782</v>
      </c>
      <c r="C479" s="947">
        <v>42186.31</v>
      </c>
      <c r="D479" s="947">
        <v>6671.88</v>
      </c>
      <c r="E479" s="947">
        <v>48858.19</v>
      </c>
      <c r="F479" s="946" t="s">
        <v>1235</v>
      </c>
      <c r="G479" s="946" t="s">
        <v>2176</v>
      </c>
      <c r="H479" s="150"/>
      <c r="I479" s="157"/>
      <c r="J479" s="157"/>
      <c r="K479" s="157"/>
      <c r="L479" s="153" t="str">
        <f t="shared" si="18"/>
        <v>9406</v>
      </c>
      <c r="M479" s="154" t="str">
        <f t="shared" si="19"/>
        <v>FRAIS BANCAIRES</v>
      </c>
      <c r="N479" s="155">
        <f>+IF(OR($Q479=Parametres!$G$2,$Q479=Parametres!$G$3),I479,C479)</f>
        <v>42186.31</v>
      </c>
      <c r="O479" s="155">
        <f>+IF(OR($Q479=Parametres!$G$2,$Q479=Parametres!$G$3),J479,D479)</f>
        <v>6671.88</v>
      </c>
      <c r="P479" s="155">
        <f>+IF(OR($Q479=Parametres!$G$2,$Q479=Parametres!$G$3),K479,E479)</f>
        <v>48858.19</v>
      </c>
      <c r="Q479" s="154" t="str">
        <f t="shared" si="33"/>
        <v>9-Autres déductions</v>
      </c>
      <c r="R479" s="153" t="str">
        <f t="shared" si="33"/>
        <v>9402</v>
      </c>
      <c r="S479" s="154">
        <f t="shared" si="33"/>
        <v>0</v>
      </c>
      <c r="T479" s="156" t="str">
        <f>+VLOOKUP($L479,Data_Validation!$A:$D,1,0)</f>
        <v>9406</v>
      </c>
      <c r="U479" s="156" t="str">
        <f>+VLOOKUP($L479,Data_Validation!$A:$D,3,0)</f>
        <v>Véhicules neufs</v>
      </c>
      <c r="V479" s="156" t="str">
        <f>+VLOOKUP($L479,Data_Validation!$A:$D,4,0)</f>
        <v>Frais bancaires</v>
      </c>
      <c r="W479" s="156" t="str">
        <f>+VLOOKUP($L479,Data_Validation!$A:$E,5,0)</f>
        <v>$</v>
      </c>
      <c r="X479" s="156">
        <f>+VLOOKUP($L479,Data_Validation!$A:$F,6,0)</f>
        <v>0</v>
      </c>
    </row>
    <row r="480" spans="1:24" ht="15" customHeight="1">
      <c r="A480" s="946"/>
      <c r="B480" s="946"/>
      <c r="C480" s="947"/>
      <c r="D480" s="947"/>
      <c r="E480" s="947"/>
      <c r="F480" s="946"/>
      <c r="G480" s="946"/>
      <c r="H480" s="150"/>
      <c r="I480" s="157"/>
      <c r="J480" s="157"/>
      <c r="K480" s="157"/>
      <c r="L480" s="153">
        <f t="shared" si="18"/>
        <v>0</v>
      </c>
      <c r="M480" s="154">
        <f t="shared" si="19"/>
        <v>0</v>
      </c>
      <c r="N480" s="155">
        <f>+IF(OR($Q480=Parametres!$G$2,$Q480=Parametres!$G$3),I480,C480)</f>
        <v>0</v>
      </c>
      <c r="O480" s="155">
        <f>+IF(OR($Q480=Parametres!$G$2,$Q480=Parametres!$G$3),J480,D480)</f>
        <v>0</v>
      </c>
      <c r="P480" s="155">
        <f>+IF(OR($Q480=Parametres!$G$2,$Q480=Parametres!$G$3),K480,E480)</f>
        <v>0</v>
      </c>
      <c r="Q480" s="154">
        <f t="shared" si="33"/>
        <v>0</v>
      </c>
      <c r="R480" s="153">
        <f t="shared" si="33"/>
        <v>0</v>
      </c>
      <c r="S480" s="154">
        <f t="shared" si="33"/>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 customHeight="1">
      <c r="A481" s="946"/>
      <c r="B481" s="946"/>
      <c r="C481" s="947"/>
      <c r="D481" s="947"/>
      <c r="E481" s="947"/>
      <c r="F481" s="946"/>
      <c r="G481" s="946"/>
      <c r="H481" s="150"/>
      <c r="I481" s="157"/>
      <c r="J481" s="157"/>
      <c r="K481" s="157"/>
      <c r="L481" s="153">
        <f t="shared" si="18"/>
        <v>0</v>
      </c>
      <c r="M481" s="154">
        <f t="shared" si="19"/>
        <v>0</v>
      </c>
      <c r="N481" s="155">
        <f>+IF(OR($Q481=Parametres!$G$2,$Q481=Parametres!$G$3),I481,C481)</f>
        <v>0</v>
      </c>
      <c r="O481" s="155">
        <f>+IF(OR($Q481=Parametres!$G$2,$Q481=Parametres!$G$3),J481,D481)</f>
        <v>0</v>
      </c>
      <c r="P481" s="155">
        <f>+IF(OR($Q481=Parametres!$G$2,$Q481=Parametres!$G$3),K481,E481)</f>
        <v>0</v>
      </c>
      <c r="Q481" s="154">
        <f t="shared" si="33"/>
        <v>0</v>
      </c>
      <c r="R481" s="153">
        <f t="shared" si="33"/>
        <v>0</v>
      </c>
      <c r="S481" s="154">
        <f t="shared" si="33"/>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75" customHeight="1">
      <c r="A482" s="946"/>
      <c r="B482" s="946"/>
      <c r="C482" s="947"/>
      <c r="D482" s="947"/>
      <c r="E482" s="947"/>
      <c r="F482" s="946"/>
      <c r="G482" s="946"/>
      <c r="H482" s="150"/>
      <c r="I482" s="157"/>
      <c r="J482" s="157"/>
      <c r="K482" s="157"/>
      <c r="L482" s="153">
        <f t="shared" si="18"/>
        <v>0</v>
      </c>
      <c r="M482" s="154">
        <f t="shared" si="19"/>
        <v>0</v>
      </c>
      <c r="N482" s="155">
        <f>+IF(OR($Q482=Parametres!$G$2,$Q482=Parametres!$G$3),I482,C482)</f>
        <v>0</v>
      </c>
      <c r="O482" s="155">
        <f>+IF(OR($Q482=Parametres!$G$2,$Q482=Parametres!$G$3),J482,D482)</f>
        <v>0</v>
      </c>
      <c r="P482" s="155">
        <f>+IF(OR($Q482=Parametres!$G$2,$Q482=Parametres!$G$3),K482,E482)</f>
        <v>0</v>
      </c>
      <c r="Q482" s="154">
        <f t="shared" ref="Q482:S497" si="34">+F482</f>
        <v>0</v>
      </c>
      <c r="R482" s="153">
        <f t="shared" si="34"/>
        <v>0</v>
      </c>
      <c r="S482" s="154">
        <f t="shared" si="34"/>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6"/>
      <c r="B483" s="946"/>
      <c r="C483" s="947"/>
      <c r="D483" s="947"/>
      <c r="E483" s="947"/>
      <c r="F483" s="946"/>
      <c r="G483" s="946"/>
      <c r="H483" s="150"/>
      <c r="I483" s="157"/>
      <c r="J483" s="157"/>
      <c r="K483" s="157"/>
      <c r="L483" s="153">
        <f t="shared" si="18"/>
        <v>0</v>
      </c>
      <c r="M483" s="154">
        <f t="shared" si="19"/>
        <v>0</v>
      </c>
      <c r="N483" s="155">
        <f>+IF(OR($Q483=Parametres!$G$2,$Q483=Parametres!$G$3),I483,C483)</f>
        <v>0</v>
      </c>
      <c r="O483" s="155">
        <f>+IF(OR($Q483=Parametres!$G$2,$Q483=Parametres!$G$3),J483,D483)</f>
        <v>0</v>
      </c>
      <c r="P483" s="155">
        <f>+IF(OR($Q483=Parametres!$G$2,$Q483=Parametres!$G$3),K483,E483)</f>
        <v>0</v>
      </c>
      <c r="Q483" s="154">
        <f t="shared" si="34"/>
        <v>0</v>
      </c>
      <c r="R483" s="153">
        <f t="shared" si="34"/>
        <v>0</v>
      </c>
      <c r="S483" s="154">
        <f t="shared" si="34"/>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6"/>
      <c r="B484" s="946"/>
      <c r="C484" s="947"/>
      <c r="D484" s="947"/>
      <c r="E484" s="947"/>
      <c r="F484" s="946"/>
      <c r="G484" s="946"/>
      <c r="H484" s="150"/>
      <c r="I484" s="157"/>
      <c r="J484" s="157"/>
      <c r="K484" s="157"/>
      <c r="L484" s="153">
        <f t="shared" si="18"/>
        <v>0</v>
      </c>
      <c r="M484" s="154">
        <f t="shared" si="19"/>
        <v>0</v>
      </c>
      <c r="N484" s="155">
        <f>+IF(OR($Q484=Parametres!$G$2,$Q484=Parametres!$G$3),I484,C484)</f>
        <v>0</v>
      </c>
      <c r="O484" s="155">
        <f>+IF(OR($Q484=Parametres!$G$2,$Q484=Parametres!$G$3),J484,D484)</f>
        <v>0</v>
      </c>
      <c r="P484" s="155">
        <f>+IF(OR($Q484=Parametres!$G$2,$Q484=Parametres!$G$3),K484,E484)</f>
        <v>0</v>
      </c>
      <c r="Q484" s="154">
        <f t="shared" si="34"/>
        <v>0</v>
      </c>
      <c r="R484" s="153">
        <f t="shared" si="34"/>
        <v>0</v>
      </c>
      <c r="S484" s="154">
        <f t="shared" si="34"/>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 customHeight="1">
      <c r="A485" s="946"/>
      <c r="B485" s="946"/>
      <c r="C485" s="947"/>
      <c r="D485" s="947"/>
      <c r="E485" s="947"/>
      <c r="F485" s="946"/>
      <c r="G485" s="946"/>
      <c r="H485" s="150"/>
      <c r="I485" s="157"/>
      <c r="J485" s="157"/>
      <c r="K485" s="157"/>
      <c r="L485" s="153">
        <f t="shared" si="18"/>
        <v>0</v>
      </c>
      <c r="M485" s="154">
        <f t="shared" si="19"/>
        <v>0</v>
      </c>
      <c r="N485" s="155">
        <f>+IF(OR($Q485=Parametres!$G$2,$Q485=Parametres!$G$3),I485,C485)</f>
        <v>0</v>
      </c>
      <c r="O485" s="155">
        <f>+IF(OR($Q485=Parametres!$G$2,$Q485=Parametres!$G$3),J485,D485)</f>
        <v>0</v>
      </c>
      <c r="P485" s="155">
        <f>+IF(OR($Q485=Parametres!$G$2,$Q485=Parametres!$G$3),K485,E485)</f>
        <v>0</v>
      </c>
      <c r="Q485" s="154">
        <f t="shared" si="34"/>
        <v>0</v>
      </c>
      <c r="R485" s="153">
        <f t="shared" si="34"/>
        <v>0</v>
      </c>
      <c r="S485" s="154">
        <f t="shared" si="34"/>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75" customHeight="1">
      <c r="A486" s="946"/>
      <c r="B486" s="946"/>
      <c r="C486" s="947"/>
      <c r="D486" s="947"/>
      <c r="E486" s="947"/>
      <c r="F486" s="946"/>
      <c r="G486" s="946"/>
      <c r="H486" s="150"/>
      <c r="I486" s="157"/>
      <c r="J486" s="157"/>
      <c r="K486" s="157"/>
      <c r="L486" s="153">
        <f t="shared" si="18"/>
        <v>0</v>
      </c>
      <c r="M486" s="154">
        <f t="shared" si="19"/>
        <v>0</v>
      </c>
      <c r="N486" s="155">
        <f>+IF(OR($Q486=Parametres!$G$2,$Q486=Parametres!$G$3),I486,C486)</f>
        <v>0</v>
      </c>
      <c r="O486" s="155">
        <f>+IF(OR($Q486=Parametres!$G$2,$Q486=Parametres!$G$3),J486,D486)</f>
        <v>0</v>
      </c>
      <c r="P486" s="155">
        <f>+IF(OR($Q486=Parametres!$G$2,$Q486=Parametres!$G$3),K486,E486)</f>
        <v>0</v>
      </c>
      <c r="Q486" s="154">
        <f t="shared" si="34"/>
        <v>0</v>
      </c>
      <c r="R486" s="153">
        <f t="shared" si="34"/>
        <v>0</v>
      </c>
      <c r="S486" s="154">
        <f t="shared" si="34"/>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6"/>
      <c r="B487" s="946"/>
      <c r="C487" s="947"/>
      <c r="D487" s="947"/>
      <c r="E487" s="947"/>
      <c r="F487" s="946"/>
      <c r="G487" s="946"/>
      <c r="H487" s="150"/>
      <c r="I487" s="157"/>
      <c r="J487" s="157"/>
      <c r="K487" s="157"/>
      <c r="L487" s="153">
        <f t="shared" si="18"/>
        <v>0</v>
      </c>
      <c r="M487" s="154">
        <f t="shared" si="19"/>
        <v>0</v>
      </c>
      <c r="N487" s="155">
        <f>+IF(OR($Q487=Parametres!$G$2,$Q487=Parametres!$G$3),I487,C487)</f>
        <v>0</v>
      </c>
      <c r="O487" s="155">
        <f>+IF(OR($Q487=Parametres!$G$2,$Q487=Parametres!$G$3),J487,D487)</f>
        <v>0</v>
      </c>
      <c r="P487" s="155">
        <f>+IF(OR($Q487=Parametres!$G$2,$Q487=Parametres!$G$3),K487,E487)</f>
        <v>0</v>
      </c>
      <c r="Q487" s="154">
        <f t="shared" si="34"/>
        <v>0</v>
      </c>
      <c r="R487" s="153">
        <f t="shared" si="34"/>
        <v>0</v>
      </c>
      <c r="S487" s="154">
        <f t="shared" si="34"/>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6"/>
      <c r="B488" s="946"/>
      <c r="C488" s="947"/>
      <c r="D488" s="947"/>
      <c r="E488" s="947"/>
      <c r="F488" s="946"/>
      <c r="G488" s="946"/>
      <c r="H488" s="150"/>
      <c r="I488" s="157"/>
      <c r="J488" s="157"/>
      <c r="K488" s="157"/>
      <c r="L488" s="153">
        <f t="shared" si="18"/>
        <v>0</v>
      </c>
      <c r="M488" s="154">
        <f t="shared" si="19"/>
        <v>0</v>
      </c>
      <c r="N488" s="155">
        <f>+IF(OR($Q488=Parametres!$G$2,$Q488=Parametres!$G$3),I488,C488)</f>
        <v>0</v>
      </c>
      <c r="O488" s="155">
        <f>+IF(OR($Q488=Parametres!$G$2,$Q488=Parametres!$G$3),J488,D488)</f>
        <v>0</v>
      </c>
      <c r="P488" s="155">
        <f>+IF(OR($Q488=Parametres!$G$2,$Q488=Parametres!$G$3),K488,E488)</f>
        <v>0</v>
      </c>
      <c r="Q488" s="154">
        <f t="shared" si="34"/>
        <v>0</v>
      </c>
      <c r="R488" s="153">
        <f t="shared" si="34"/>
        <v>0</v>
      </c>
      <c r="S488" s="154">
        <f t="shared" si="34"/>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6"/>
      <c r="B489" s="946"/>
      <c r="C489" s="947"/>
      <c r="D489" s="947"/>
      <c r="E489" s="947"/>
      <c r="F489" s="946"/>
      <c r="G489" s="946"/>
      <c r="H489" s="150"/>
      <c r="I489" s="157"/>
      <c r="J489" s="157"/>
      <c r="K489" s="157"/>
      <c r="L489" s="153">
        <f t="shared" si="18"/>
        <v>0</v>
      </c>
      <c r="M489" s="154">
        <f t="shared" si="19"/>
        <v>0</v>
      </c>
      <c r="N489" s="155">
        <f>+IF(OR($Q489=Parametres!$G$2,$Q489=Parametres!$G$3),I489,C489)</f>
        <v>0</v>
      </c>
      <c r="O489" s="155">
        <f>+IF(OR($Q489=Parametres!$G$2,$Q489=Parametres!$G$3),J489,D489)</f>
        <v>0</v>
      </c>
      <c r="P489" s="155">
        <f>+IF(OR($Q489=Parametres!$G$2,$Q489=Parametres!$G$3),K489,E489)</f>
        <v>0</v>
      </c>
      <c r="Q489" s="154">
        <f t="shared" si="34"/>
        <v>0</v>
      </c>
      <c r="R489" s="153">
        <f t="shared" si="34"/>
        <v>0</v>
      </c>
      <c r="S489" s="154">
        <f t="shared" si="34"/>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 customHeight="1">
      <c r="A490" s="946"/>
      <c r="B490" s="946"/>
      <c r="C490" s="947"/>
      <c r="D490" s="947"/>
      <c r="E490" s="947"/>
      <c r="F490" s="946"/>
      <c r="G490" s="946"/>
      <c r="H490" s="150"/>
      <c r="I490" s="157"/>
      <c r="J490" s="157"/>
      <c r="K490" s="157"/>
      <c r="L490" s="153">
        <f t="shared" si="18"/>
        <v>0</v>
      </c>
      <c r="M490" s="154">
        <f t="shared" si="19"/>
        <v>0</v>
      </c>
      <c r="N490" s="155">
        <f>+IF(OR($Q490=Parametres!$G$2,$Q490=Parametres!$G$3),I490,C490)</f>
        <v>0</v>
      </c>
      <c r="O490" s="155">
        <f>+IF(OR($Q490=Parametres!$G$2,$Q490=Parametres!$G$3),J490,D490)</f>
        <v>0</v>
      </c>
      <c r="P490" s="155">
        <f>+IF(OR($Q490=Parametres!$G$2,$Q490=Parametres!$G$3),K490,E490)</f>
        <v>0</v>
      </c>
      <c r="Q490" s="154">
        <f t="shared" si="34"/>
        <v>0</v>
      </c>
      <c r="R490" s="153">
        <f t="shared" si="34"/>
        <v>0</v>
      </c>
      <c r="S490" s="154">
        <f t="shared" si="34"/>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75" customHeight="1">
      <c r="A491" s="946"/>
      <c r="B491" s="946"/>
      <c r="C491" s="947"/>
      <c r="D491" s="947"/>
      <c r="E491" s="947"/>
      <c r="F491" s="946"/>
      <c r="G491" s="946"/>
      <c r="H491" s="150"/>
      <c r="I491" s="157"/>
      <c r="J491" s="157"/>
      <c r="K491" s="157"/>
      <c r="L491" s="153">
        <f t="shared" si="18"/>
        <v>0</v>
      </c>
      <c r="M491" s="154">
        <f t="shared" si="19"/>
        <v>0</v>
      </c>
      <c r="N491" s="155">
        <f>+IF(OR($Q491=Parametres!$G$2,$Q491=Parametres!$G$3),I491,C491)</f>
        <v>0</v>
      </c>
      <c r="O491" s="155">
        <f>+IF(OR($Q491=Parametres!$G$2,$Q491=Parametres!$G$3),J491,D491)</f>
        <v>0</v>
      </c>
      <c r="P491" s="155">
        <f>+IF(OR($Q491=Parametres!$G$2,$Q491=Parametres!$G$3),K491,E491)</f>
        <v>0</v>
      </c>
      <c r="Q491" s="154">
        <f t="shared" si="34"/>
        <v>0</v>
      </c>
      <c r="R491" s="153">
        <f t="shared" si="34"/>
        <v>0</v>
      </c>
      <c r="S491" s="154">
        <f t="shared" si="34"/>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6"/>
      <c r="B492" s="946"/>
      <c r="C492" s="947"/>
      <c r="D492" s="947"/>
      <c r="E492" s="947"/>
      <c r="F492" s="946"/>
      <c r="G492" s="946"/>
      <c r="H492" s="150"/>
      <c r="I492" s="157"/>
      <c r="J492" s="157"/>
      <c r="K492" s="157"/>
      <c r="L492" s="153">
        <f t="shared" si="18"/>
        <v>0</v>
      </c>
      <c r="M492" s="154">
        <f t="shared" si="19"/>
        <v>0</v>
      </c>
      <c r="N492" s="155">
        <f>+IF(OR($Q492=Parametres!$G$2,$Q492=Parametres!$G$3),I492,C492)</f>
        <v>0</v>
      </c>
      <c r="O492" s="155">
        <f>+IF(OR($Q492=Parametres!$G$2,$Q492=Parametres!$G$3),J492,D492)</f>
        <v>0</v>
      </c>
      <c r="P492" s="155">
        <f>+IF(OR($Q492=Parametres!$G$2,$Q492=Parametres!$G$3),K492,E492)</f>
        <v>0</v>
      </c>
      <c r="Q492" s="154">
        <f t="shared" si="34"/>
        <v>0</v>
      </c>
      <c r="R492" s="153">
        <f t="shared" si="34"/>
        <v>0</v>
      </c>
      <c r="S492" s="154">
        <f t="shared" si="34"/>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6"/>
      <c r="B493" s="946"/>
      <c r="C493" s="947"/>
      <c r="D493" s="947"/>
      <c r="E493" s="947"/>
      <c r="F493" s="946"/>
      <c r="G493" s="946"/>
      <c r="H493" s="150"/>
      <c r="I493" s="157"/>
      <c r="J493" s="157"/>
      <c r="K493" s="157"/>
      <c r="L493" s="153">
        <f t="shared" si="18"/>
        <v>0</v>
      </c>
      <c r="M493" s="154">
        <f t="shared" si="19"/>
        <v>0</v>
      </c>
      <c r="N493" s="155">
        <f>+IF(OR($Q493=Parametres!$G$2,$Q493=Parametres!$G$3),I493,C493)</f>
        <v>0</v>
      </c>
      <c r="O493" s="155">
        <f>+IF(OR($Q493=Parametres!$G$2,$Q493=Parametres!$G$3),J493,D493)</f>
        <v>0</v>
      </c>
      <c r="P493" s="155">
        <f>+IF(OR($Q493=Parametres!$G$2,$Q493=Parametres!$G$3),K493,E493)</f>
        <v>0</v>
      </c>
      <c r="Q493" s="154">
        <f t="shared" si="34"/>
        <v>0</v>
      </c>
      <c r="R493" s="153">
        <f t="shared" si="34"/>
        <v>0</v>
      </c>
      <c r="S493" s="154">
        <f t="shared" si="34"/>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 customHeight="1">
      <c r="A494" s="946"/>
      <c r="B494" s="946"/>
      <c r="C494" s="947"/>
      <c r="D494" s="947"/>
      <c r="E494" s="947"/>
      <c r="F494" s="946"/>
      <c r="G494" s="946"/>
      <c r="H494" s="150"/>
      <c r="I494" s="157"/>
      <c r="J494" s="157"/>
      <c r="K494" s="157"/>
      <c r="L494" s="153">
        <f t="shared" si="18"/>
        <v>0</v>
      </c>
      <c r="M494" s="154">
        <f t="shared" si="19"/>
        <v>0</v>
      </c>
      <c r="N494" s="155">
        <f>+IF(OR($Q494=Parametres!$G$2,$Q494=Parametres!$G$3),I494,C494)</f>
        <v>0</v>
      </c>
      <c r="O494" s="155">
        <f>+IF(OR($Q494=Parametres!$G$2,$Q494=Parametres!$G$3),J494,D494)</f>
        <v>0</v>
      </c>
      <c r="P494" s="155">
        <f>+IF(OR($Q494=Parametres!$G$2,$Q494=Parametres!$G$3),K494,E494)</f>
        <v>0</v>
      </c>
      <c r="Q494" s="154">
        <f t="shared" si="34"/>
        <v>0</v>
      </c>
      <c r="R494" s="153">
        <f t="shared" si="34"/>
        <v>0</v>
      </c>
      <c r="S494" s="154">
        <f t="shared" si="34"/>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75" customHeight="1">
      <c r="A495" s="946"/>
      <c r="B495" s="946"/>
      <c r="C495" s="947"/>
      <c r="D495" s="947"/>
      <c r="E495" s="947"/>
      <c r="F495" s="946"/>
      <c r="G495" s="946"/>
      <c r="H495" s="150"/>
      <c r="I495" s="157"/>
      <c r="J495" s="157"/>
      <c r="K495" s="157"/>
      <c r="L495" s="153">
        <f t="shared" si="18"/>
        <v>0</v>
      </c>
      <c r="M495" s="154">
        <f t="shared" si="19"/>
        <v>0</v>
      </c>
      <c r="N495" s="155">
        <f>+IF(OR($Q495=Parametres!$G$2,$Q495=Parametres!$G$3),I495,C495)</f>
        <v>0</v>
      </c>
      <c r="O495" s="155">
        <f>+IF(OR($Q495=Parametres!$G$2,$Q495=Parametres!$G$3),J495,D495)</f>
        <v>0</v>
      </c>
      <c r="P495" s="155">
        <f>+IF(OR($Q495=Parametres!$G$2,$Q495=Parametres!$G$3),K495,E495)</f>
        <v>0</v>
      </c>
      <c r="Q495" s="154">
        <f t="shared" si="34"/>
        <v>0</v>
      </c>
      <c r="R495" s="153">
        <f t="shared" si="34"/>
        <v>0</v>
      </c>
      <c r="S495" s="154">
        <f t="shared" si="34"/>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6"/>
      <c r="B496" s="946"/>
      <c r="C496" s="947"/>
      <c r="D496" s="947"/>
      <c r="E496" s="947"/>
      <c r="F496" s="946"/>
      <c r="G496" s="946"/>
      <c r="H496" s="150"/>
      <c r="I496" s="157"/>
      <c r="J496" s="157"/>
      <c r="K496" s="157"/>
      <c r="L496" s="153">
        <f t="shared" si="18"/>
        <v>0</v>
      </c>
      <c r="M496" s="154">
        <f t="shared" si="19"/>
        <v>0</v>
      </c>
      <c r="N496" s="155">
        <f>+IF(OR($Q496=Parametres!$G$2,$Q496=Parametres!$G$3),I496,C496)</f>
        <v>0</v>
      </c>
      <c r="O496" s="155">
        <f>+IF(OR($Q496=Parametres!$G$2,$Q496=Parametres!$G$3),J496,D496)</f>
        <v>0</v>
      </c>
      <c r="P496" s="155">
        <f>+IF(OR($Q496=Parametres!$G$2,$Q496=Parametres!$G$3),K496,E496)</f>
        <v>0</v>
      </c>
      <c r="Q496" s="154">
        <f t="shared" si="34"/>
        <v>0</v>
      </c>
      <c r="R496" s="153">
        <f t="shared" si="34"/>
        <v>0</v>
      </c>
      <c r="S496" s="154">
        <f t="shared" si="34"/>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6"/>
      <c r="B497" s="946"/>
      <c r="C497" s="947"/>
      <c r="D497" s="947"/>
      <c r="E497" s="947"/>
      <c r="F497" s="946"/>
      <c r="G497" s="946"/>
      <c r="H497" s="150"/>
      <c r="I497" s="157"/>
      <c r="J497" s="157"/>
      <c r="K497" s="157"/>
      <c r="L497" s="153">
        <f t="shared" si="18"/>
        <v>0</v>
      </c>
      <c r="M497" s="154">
        <f t="shared" si="19"/>
        <v>0</v>
      </c>
      <c r="N497" s="155">
        <f>+IF(OR($Q497=Parametres!$G$2,$Q497=Parametres!$G$3),I497,C497)</f>
        <v>0</v>
      </c>
      <c r="O497" s="155">
        <f>+IF(OR($Q497=Parametres!$G$2,$Q497=Parametres!$G$3),J497,D497)</f>
        <v>0</v>
      </c>
      <c r="P497" s="155">
        <f>+IF(OR($Q497=Parametres!$G$2,$Q497=Parametres!$G$3),K497,E497)</f>
        <v>0</v>
      </c>
      <c r="Q497" s="154">
        <f t="shared" si="34"/>
        <v>0</v>
      </c>
      <c r="R497" s="153">
        <f t="shared" si="34"/>
        <v>0</v>
      </c>
      <c r="S497" s="154">
        <f t="shared" si="34"/>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6"/>
      <c r="B498" s="946"/>
      <c r="C498" s="947"/>
      <c r="D498" s="947"/>
      <c r="E498" s="947"/>
      <c r="F498" s="946"/>
      <c r="G498" s="946"/>
      <c r="H498" s="150"/>
      <c r="I498" s="157"/>
      <c r="J498" s="157"/>
      <c r="K498" s="157"/>
      <c r="L498" s="153">
        <f t="shared" si="18"/>
        <v>0</v>
      </c>
      <c r="M498" s="154">
        <f t="shared" si="19"/>
        <v>0</v>
      </c>
      <c r="N498" s="155">
        <f>+IF(OR($Q498=Parametres!$G$2,$Q498=Parametres!$G$3),I498,C498)</f>
        <v>0</v>
      </c>
      <c r="O498" s="155">
        <f>+IF(OR($Q498=Parametres!$G$2,$Q498=Parametres!$G$3),J498,D498)</f>
        <v>0</v>
      </c>
      <c r="P498" s="155">
        <f>+IF(OR($Q498=Parametres!$G$2,$Q498=Parametres!$G$3),K498,E498)</f>
        <v>0</v>
      </c>
      <c r="Q498" s="154">
        <f t="shared" ref="Q498:S513" si="35">+F498</f>
        <v>0</v>
      </c>
      <c r="R498" s="153">
        <f t="shared" si="35"/>
        <v>0</v>
      </c>
      <c r="S498" s="154">
        <f t="shared" si="35"/>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customHeight="1">
      <c r="A499" s="946"/>
      <c r="B499" s="946"/>
      <c r="C499" s="947"/>
      <c r="D499" s="947"/>
      <c r="E499" s="947"/>
      <c r="F499" s="946"/>
      <c r="G499" s="946"/>
      <c r="H499" s="150"/>
      <c r="I499" s="157"/>
      <c r="J499" s="157"/>
      <c r="K499" s="157"/>
      <c r="L499" s="153">
        <f t="shared" si="18"/>
        <v>0</v>
      </c>
      <c r="M499" s="154">
        <f t="shared" si="19"/>
        <v>0</v>
      </c>
      <c r="N499" s="155">
        <f>+IF(OR($Q499=Parametres!$G$2,$Q499=Parametres!$G$3),I499,C499)</f>
        <v>0</v>
      </c>
      <c r="O499" s="155">
        <f>+IF(OR($Q499=Parametres!$G$2,$Q499=Parametres!$G$3),J499,D499)</f>
        <v>0</v>
      </c>
      <c r="P499" s="155">
        <f>+IF(OR($Q499=Parametres!$G$2,$Q499=Parametres!$G$3),K499,E499)</f>
        <v>0</v>
      </c>
      <c r="Q499" s="154">
        <f t="shared" si="35"/>
        <v>0</v>
      </c>
      <c r="R499" s="153">
        <f t="shared" si="35"/>
        <v>0</v>
      </c>
      <c r="S499" s="154">
        <f t="shared" si="35"/>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customHeight="1">
      <c r="A500" s="946"/>
      <c r="B500" s="946"/>
      <c r="C500" s="947"/>
      <c r="D500" s="947"/>
      <c r="E500" s="947"/>
      <c r="F500" s="946"/>
      <c r="G500" s="946"/>
      <c r="H500" s="150"/>
      <c r="I500" s="157"/>
      <c r="J500" s="157"/>
      <c r="K500" s="157"/>
      <c r="L500" s="153">
        <f t="shared" si="18"/>
        <v>0</v>
      </c>
      <c r="M500" s="154">
        <f t="shared" si="19"/>
        <v>0</v>
      </c>
      <c r="N500" s="155">
        <f>+IF(OR($Q500=Parametres!$G$2,$Q500=Parametres!$G$3),I500,C500)</f>
        <v>0</v>
      </c>
      <c r="O500" s="155">
        <f>+IF(OR($Q500=Parametres!$G$2,$Q500=Parametres!$G$3),J500,D500)</f>
        <v>0</v>
      </c>
      <c r="P500" s="155">
        <f>+IF(OR($Q500=Parametres!$G$2,$Q500=Parametres!$G$3),K500,E500)</f>
        <v>0</v>
      </c>
      <c r="Q500" s="154">
        <f t="shared" si="35"/>
        <v>0</v>
      </c>
      <c r="R500" s="153">
        <f t="shared" si="35"/>
        <v>0</v>
      </c>
      <c r="S500" s="154">
        <f t="shared" si="35"/>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6"/>
      <c r="B501" s="946"/>
      <c r="C501" s="947"/>
      <c r="D501" s="947"/>
      <c r="E501" s="947"/>
      <c r="F501" s="946"/>
      <c r="G501" s="946"/>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6"/>
      <c r="B502" s="946"/>
      <c r="C502" s="947"/>
      <c r="D502" s="947"/>
      <c r="E502" s="947"/>
      <c r="F502" s="946"/>
      <c r="G502" s="946"/>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6"/>
      <c r="B503" s="946"/>
      <c r="C503" s="947"/>
      <c r="D503" s="947"/>
      <c r="E503" s="947"/>
      <c r="F503" s="946"/>
      <c r="G503" s="946"/>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46"/>
      <c r="B504" s="946"/>
      <c r="C504" s="947"/>
      <c r="D504" s="947"/>
      <c r="E504" s="947"/>
      <c r="F504" s="946"/>
      <c r="G504" s="946"/>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46"/>
      <c r="B505" s="946"/>
      <c r="C505" s="947"/>
      <c r="D505" s="947"/>
      <c r="E505" s="947"/>
      <c r="F505" s="946"/>
      <c r="G505" s="946"/>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6"/>
      <c r="B506" s="946"/>
      <c r="C506" s="947"/>
      <c r="D506" s="947"/>
      <c r="E506" s="947"/>
      <c r="F506" s="946"/>
      <c r="G506" s="946"/>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6"/>
      <c r="B507" s="946"/>
      <c r="C507" s="947"/>
      <c r="D507" s="947"/>
      <c r="E507" s="947"/>
      <c r="F507" s="946"/>
      <c r="G507" s="946"/>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46"/>
      <c r="B508" s="946"/>
      <c r="C508" s="947"/>
      <c r="D508" s="947"/>
      <c r="E508" s="947"/>
      <c r="F508" s="946"/>
      <c r="G508" s="946"/>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46"/>
      <c r="B509" s="946"/>
      <c r="C509" s="947"/>
      <c r="D509" s="947"/>
      <c r="E509" s="947"/>
      <c r="F509" s="946"/>
      <c r="G509" s="946"/>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6"/>
      <c r="B510" s="946"/>
      <c r="C510" s="947"/>
      <c r="D510" s="947"/>
      <c r="E510" s="947"/>
      <c r="F510" s="946"/>
      <c r="G510" s="946"/>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8000000}">
    <filterColumn colId="21">
      <filters>
        <filter val="#N/A"/>
      </filters>
    </filterColumn>
  </autoFilter>
  <dataValidations count="1">
    <dataValidation type="list" allowBlank="1" showErrorMessage="1" sqref="U1" xr:uid="{00000000-0002-0000-0800-000000000000}">
      <formula1>$D$1:$D$26</formula1>
    </dataValidation>
  </dataValidations>
  <pageMargins left="0.7" right="0.7" top="0.75" bottom="0.75" header="0" footer="0"/>
  <pageSetup scale="63"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C1073"/>
  <sheetViews>
    <sheetView topLeftCell="A177" workbookViewId="0">
      <selection activeCell="A195" sqref="A195"/>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56" t="s">
        <v>1637</v>
      </c>
      <c r="B1" s="956" t="s">
        <v>265</v>
      </c>
      <c r="C1" s="956" t="s">
        <v>1640</v>
      </c>
      <c r="D1" s="956" t="s">
        <v>278</v>
      </c>
      <c r="E1" s="1011" t="s">
        <v>279</v>
      </c>
      <c r="F1" s="1011" t="s">
        <v>1919</v>
      </c>
      <c r="G1" s="1011" t="s">
        <v>1927</v>
      </c>
      <c r="I1" s="162" t="s">
        <v>1640</v>
      </c>
      <c r="K1" s="162" t="s">
        <v>278</v>
      </c>
      <c r="N1" s="187"/>
    </row>
    <row r="2" spans="1:14" ht="15" customHeight="1">
      <c r="A2" s="168" t="s">
        <v>2206</v>
      </c>
      <c r="B2" s="169" t="s">
        <v>2205</v>
      </c>
      <c r="C2" s="955"/>
      <c r="D2" s="955"/>
      <c r="E2" s="1007"/>
      <c r="F2" s="1008"/>
      <c r="G2" s="1007" t="str">
        <f>+VLOOKUP(Data_Validation!$A2,BV_Data_An_Cour!$L:$Q,6,0)</f>
        <v>1-Mémo</v>
      </c>
      <c r="H2" s="165"/>
      <c r="I2" s="164" t="s">
        <v>1642</v>
      </c>
      <c r="K2" s="164">
        <f>Print_Mois!C4</f>
        <v>0</v>
      </c>
      <c r="N2" s="187"/>
    </row>
    <row r="3" spans="1:14" ht="15" customHeight="1">
      <c r="A3" s="168" t="s">
        <v>2209</v>
      </c>
      <c r="B3" s="169" t="s">
        <v>2208</v>
      </c>
      <c r="C3" s="955"/>
      <c r="D3" s="955"/>
      <c r="E3" s="1007"/>
      <c r="F3" s="1008"/>
      <c r="G3" s="1007" t="str">
        <f>+VLOOKUP(Data_Validation!$A3,BV_Data_An_Cour!$L:$Q,6,0)</f>
        <v>1-Mémo</v>
      </c>
      <c r="H3" s="188"/>
      <c r="I3" s="164" t="str">
        <f>Print_Mois!K1</f>
        <v>Véhicules neufs</v>
      </c>
      <c r="K3" s="164" t="s">
        <v>66</v>
      </c>
      <c r="N3" s="187"/>
    </row>
    <row r="4" spans="1:14" ht="15" customHeight="1">
      <c r="A4" s="168" t="s">
        <v>2211</v>
      </c>
      <c r="B4" s="169" t="s">
        <v>2210</v>
      </c>
      <c r="C4" s="955"/>
      <c r="D4" s="955"/>
      <c r="E4" s="1007"/>
      <c r="F4" s="1008"/>
      <c r="G4" s="1007" t="str">
        <f>+VLOOKUP(Data_Validation!$A4,BV_Data_An_Cour!$L:$Q,6,0)</f>
        <v>1-Mémo</v>
      </c>
      <c r="H4" s="188"/>
      <c r="I4" s="164" t="str">
        <f>Print_Mois!K89</f>
        <v>Véhicules usagés</v>
      </c>
      <c r="K4" s="164" t="str">
        <f>Print_Mois!C183</f>
        <v>Ajustement M/O</v>
      </c>
      <c r="M4" s="627" t="s">
        <v>1928</v>
      </c>
      <c r="N4" s="187"/>
    </row>
    <row r="5" spans="1:14" ht="15" customHeight="1">
      <c r="A5" s="168" t="s">
        <v>2213</v>
      </c>
      <c r="B5" s="169" t="s">
        <v>2212</v>
      </c>
      <c r="C5" s="955"/>
      <c r="D5" s="955"/>
      <c r="E5" s="1007"/>
      <c r="F5" s="1008"/>
      <c r="G5" s="1007" t="str">
        <f>+VLOOKUP(Data_Validation!$A5,BV_Data_An_Cour!$L:$Q,6,0)</f>
        <v>1-Mémo</v>
      </c>
      <c r="H5" s="188"/>
      <c r="I5" s="164" t="str">
        <f>Print_Mois!AE401</f>
        <v>TOTAL  DES  REVENUS  ET  DÉPENSES</v>
      </c>
      <c r="K5" s="164" t="s">
        <v>53</v>
      </c>
      <c r="M5" s="628" t="s">
        <v>1929</v>
      </c>
      <c r="N5" s="187"/>
    </row>
    <row r="6" spans="1:14" ht="15" customHeight="1">
      <c r="A6" s="950" t="s">
        <v>2215</v>
      </c>
      <c r="B6" s="171" t="s">
        <v>2214</v>
      </c>
      <c r="C6" s="955"/>
      <c r="D6" s="955"/>
      <c r="E6" s="1010"/>
      <c r="F6" s="1008"/>
      <c r="G6" s="1007" t="str">
        <f>+VLOOKUP(Data_Validation!$A6,BV_Data_An_Cour!$L:$Q,6,0)</f>
        <v>1-Mémo</v>
      </c>
      <c r="H6" s="188"/>
      <c r="I6" s="164" t="str">
        <f>Print_Mois!K167</f>
        <v>Service</v>
      </c>
      <c r="K6" s="164" t="s">
        <v>55</v>
      </c>
      <c r="M6" s="628" t="s">
        <v>1948</v>
      </c>
    </row>
    <row r="7" spans="1:14" ht="15" customHeight="1">
      <c r="A7" s="169" t="s">
        <v>2217</v>
      </c>
      <c r="B7" s="169" t="s">
        <v>2216</v>
      </c>
      <c r="C7" s="955"/>
      <c r="D7" s="955"/>
      <c r="E7" s="1010"/>
      <c r="F7" s="1007"/>
      <c r="G7" s="1007" t="str">
        <f>+VLOOKUP(Data_Validation!$A7,BV_Data_An_Cour!$L:$Q,6,0)</f>
        <v>1-Mémo</v>
      </c>
      <c r="H7" s="188"/>
      <c r="I7" s="164" t="str">
        <f>Print_Mois!K235</f>
        <v>Carrosserie</v>
      </c>
      <c r="K7" s="164" t="str">
        <f>Print_Mois!V490</f>
        <v>Amortissement</v>
      </c>
      <c r="M7" s="628" t="s">
        <v>1949</v>
      </c>
    </row>
    <row r="8" spans="1:14" ht="15" customHeight="1">
      <c r="A8" s="171" t="s">
        <v>2219</v>
      </c>
      <c r="B8" s="171" t="s">
        <v>2218</v>
      </c>
      <c r="C8" s="955"/>
      <c r="D8" s="955"/>
      <c r="E8" s="1007"/>
      <c r="F8" s="1008"/>
      <c r="G8" s="1007" t="e">
        <f>+VLOOKUP(Data_Validation!$A8,BV_Data_An_Cour!$L:$Q,6,0)</f>
        <v>#N/A</v>
      </c>
      <c r="H8" s="188"/>
      <c r="I8" s="164" t="str">
        <f>Print_Mois!K290</f>
        <v>Pièces</v>
      </c>
      <c r="K8" s="164" t="s">
        <v>68</v>
      </c>
      <c r="M8" s="628" t="s">
        <v>155</v>
      </c>
    </row>
    <row r="9" spans="1:14" ht="15" customHeight="1">
      <c r="A9" s="950" t="s">
        <v>2221</v>
      </c>
      <c r="B9" s="171" t="s">
        <v>2220</v>
      </c>
      <c r="C9" s="955"/>
      <c r="D9" s="955"/>
      <c r="E9" s="1007"/>
      <c r="F9" s="1008"/>
      <c r="G9" s="1007" t="e">
        <f>+VLOOKUP(Data_Validation!$A9,BV_Data_An_Cour!$L:$Q,6,0)</f>
        <v>#N/A</v>
      </c>
      <c r="H9" s="188"/>
      <c r="I9" s="164" t="s">
        <v>1646</v>
      </c>
      <c r="K9" s="164" t="str">
        <f>Print_Mois!V456</f>
        <v>Assurances</v>
      </c>
      <c r="M9" s="628" t="s">
        <v>175</v>
      </c>
    </row>
    <row r="10" spans="1:14" ht="15" customHeight="1">
      <c r="A10" s="950" t="s">
        <v>2223</v>
      </c>
      <c r="B10" s="171" t="s">
        <v>2222</v>
      </c>
      <c r="C10" s="955"/>
      <c r="D10" s="955"/>
      <c r="E10" s="1007"/>
      <c r="F10" s="1008"/>
      <c r="G10" s="1007" t="e">
        <f>+VLOOKUP(Data_Validation!$A10,BV_Data_An_Cour!$L:$Q,6,0)</f>
        <v>#N/A</v>
      </c>
      <c r="H10" s="188"/>
      <c r="I10" s="164"/>
      <c r="K10" s="164" t="s">
        <v>1647</v>
      </c>
      <c r="M10" s="628" t="s">
        <v>171</v>
      </c>
      <c r="N10" s="187"/>
    </row>
    <row r="11" spans="1:14" ht="15" customHeight="1">
      <c r="A11" s="168" t="s">
        <v>2225</v>
      </c>
      <c r="B11" s="169" t="s">
        <v>2224</v>
      </c>
      <c r="C11" s="955"/>
      <c r="D11" s="955"/>
      <c r="E11" s="1007"/>
      <c r="F11" s="1008"/>
      <c r="G11" s="1007" t="e">
        <f>+VLOOKUP(Data_Validation!$A11,BV_Data_An_Cour!$L:$Q,6,0)</f>
        <v>#N/A</v>
      </c>
      <c r="H11" s="188"/>
      <c r="I11" s="164"/>
      <c r="K11" s="164" t="s">
        <v>1648</v>
      </c>
      <c r="M11" s="627" t="s">
        <v>1930</v>
      </c>
      <c r="N11" s="187"/>
    </row>
    <row r="12" spans="1:14" ht="15" customHeight="1">
      <c r="A12" s="168" t="s">
        <v>2227</v>
      </c>
      <c r="B12" s="169" t="s">
        <v>2226</v>
      </c>
      <c r="C12" s="955"/>
      <c r="D12" s="955"/>
      <c r="E12" s="1007"/>
      <c r="F12" s="1008"/>
      <c r="G12" s="1007" t="e">
        <f>+VLOOKUP(Data_Validation!$A12,BV_Data_An_Cour!$L:$Q,6,0)</f>
        <v>#N/A</v>
      </c>
      <c r="H12" s="188"/>
      <c r="K12" s="164" t="str">
        <f>Print_Mois!C6</f>
        <v>Autos détail</v>
      </c>
      <c r="M12" s="187" t="s">
        <v>1948</v>
      </c>
    </row>
    <row r="13" spans="1:14" ht="15" customHeight="1">
      <c r="A13" s="168" t="s">
        <v>2229</v>
      </c>
      <c r="B13" s="169" t="s">
        <v>2228</v>
      </c>
      <c r="C13" s="955"/>
      <c r="D13" s="955"/>
      <c r="E13" s="1007"/>
      <c r="F13" s="1008"/>
      <c r="G13" s="1007" t="str">
        <f>+VLOOKUP(Data_Validation!$A13,BV_Data_An_Cour!$L:$Q,6,0)</f>
        <v>1-Mémo</v>
      </c>
      <c r="H13" s="188"/>
      <c r="K13" s="164" t="str">
        <f>Print_Mois!C311</f>
        <v>Autostock</v>
      </c>
      <c r="M13" s="187" t="s">
        <v>1949</v>
      </c>
    </row>
    <row r="14" spans="1:14" ht="15" customHeight="1">
      <c r="A14" s="168" t="s">
        <v>2232</v>
      </c>
      <c r="B14" s="169" t="s">
        <v>2231</v>
      </c>
      <c r="C14" s="955"/>
      <c r="D14" s="955"/>
      <c r="E14" s="1007" t="s">
        <v>1917</v>
      </c>
      <c r="F14" s="1008"/>
      <c r="G14" s="1007" t="str">
        <f>+VLOOKUP(Data_Validation!$A14,BV_Data_An_Cour!$L:$Q,6,0)</f>
        <v>1-Mémo</v>
      </c>
      <c r="H14" s="188"/>
      <c r="K14" s="164" t="s">
        <v>26</v>
      </c>
      <c r="N14" s="187"/>
    </row>
    <row r="15" spans="1:14" ht="15" customHeight="1">
      <c r="A15" s="168" t="s">
        <v>2234</v>
      </c>
      <c r="B15" s="169" t="s">
        <v>2233</v>
      </c>
      <c r="C15" s="955"/>
      <c r="D15" s="955"/>
      <c r="E15" s="1007"/>
      <c r="F15" s="1008"/>
      <c r="G15" s="1007" t="str">
        <f>+VLOOKUP(Data_Validation!$A15,BV_Data_An_Cour!$L:$Q,6,0)</f>
        <v>1-Mémo</v>
      </c>
      <c r="H15" s="188"/>
      <c r="K15" s="164" t="s">
        <v>40</v>
      </c>
      <c r="M15" s="634" t="s">
        <v>1950</v>
      </c>
      <c r="N15" s="187"/>
    </row>
    <row r="16" spans="1:14" ht="15" customHeight="1">
      <c r="A16" s="168" t="s">
        <v>2236</v>
      </c>
      <c r="B16" s="169" t="s">
        <v>2235</v>
      </c>
      <c r="C16" s="955"/>
      <c r="D16" s="955"/>
      <c r="E16" s="1007"/>
      <c r="F16" s="1008"/>
      <c r="G16" s="1007" t="str">
        <f>+VLOOKUP(Data_Validation!$A16,BV_Data_An_Cour!$L:$Q,6,0)</f>
        <v>1-Mémo</v>
      </c>
      <c r="H16" s="188"/>
      <c r="K16" s="164" t="s">
        <v>56</v>
      </c>
      <c r="M16" s="570" t="s">
        <v>1948</v>
      </c>
      <c r="N16" s="187"/>
    </row>
    <row r="17" spans="1:14" ht="15" customHeight="1">
      <c r="A17" s="168" t="s">
        <v>2238</v>
      </c>
      <c r="B17" s="169" t="s">
        <v>2237</v>
      </c>
      <c r="C17" s="955"/>
      <c r="D17" s="955"/>
      <c r="E17" s="1007"/>
      <c r="F17" s="1008"/>
      <c r="G17" s="1007" t="str">
        <f>+VLOOKUP(Data_Validation!$A17,BV_Data_An_Cour!$L:$Q,6,0)</f>
        <v>1-Mémo</v>
      </c>
      <c r="H17" s="188"/>
      <c r="K17" s="164" t="s">
        <v>14</v>
      </c>
      <c r="M17" s="570" t="s">
        <v>1949</v>
      </c>
      <c r="N17" s="187"/>
    </row>
    <row r="18" spans="1:14" ht="15" customHeight="1">
      <c r="A18" s="168" t="s">
        <v>2240</v>
      </c>
      <c r="B18" s="169" t="s">
        <v>2239</v>
      </c>
      <c r="C18" s="955"/>
      <c r="D18" s="955"/>
      <c r="E18" s="1007"/>
      <c r="F18" s="1008"/>
      <c r="G18" s="1007" t="str">
        <f>+VLOOKUP(Data_Validation!$A18,BV_Data_An_Cour!$L:$Q,6,0)</f>
        <v>1-Mémo</v>
      </c>
      <c r="H18" s="188"/>
      <c r="K18" s="164" t="s">
        <v>37</v>
      </c>
      <c r="N18" s="187"/>
    </row>
    <row r="19" spans="1:14" ht="15" customHeight="1">
      <c r="A19" s="168" t="s">
        <v>2243</v>
      </c>
      <c r="B19" s="169" t="s">
        <v>2242</v>
      </c>
      <c r="C19" s="955"/>
      <c r="D19" s="955"/>
      <c r="E19" s="1007"/>
      <c r="F19" s="1008"/>
      <c r="G19" s="1007" t="str">
        <f>+VLOOKUP(Data_Validation!$A19,BV_Data_An_Cour!$L:$Q,6,0)</f>
        <v>1-Mémo</v>
      </c>
      <c r="H19" s="188"/>
      <c r="K19" s="164" t="s">
        <v>65</v>
      </c>
      <c r="N19" s="187"/>
    </row>
    <row r="20" spans="1:14" ht="15" customHeight="1">
      <c r="A20" s="168" t="s">
        <v>2245</v>
      </c>
      <c r="B20" s="169" t="s">
        <v>2244</v>
      </c>
      <c r="C20" s="955"/>
      <c r="D20" s="955"/>
      <c r="E20" s="1007"/>
      <c r="F20" s="1008"/>
      <c r="G20" s="1007" t="str">
        <f>+VLOOKUP(Data_Validation!$A20,BV_Data_An_Cour!$L:$Q,6,0)</f>
        <v>1-Mémo</v>
      </c>
      <c r="H20" s="188"/>
      <c r="K20" s="164" t="s">
        <v>50</v>
      </c>
      <c r="N20" s="187"/>
    </row>
    <row r="21" spans="1:14" ht="15" customHeight="1">
      <c r="A21" s="168" t="s">
        <v>2247</v>
      </c>
      <c r="B21" s="169" t="s">
        <v>2246</v>
      </c>
      <c r="C21" s="955"/>
      <c r="D21" s="955"/>
      <c r="E21" s="1007"/>
      <c r="F21" s="1008"/>
      <c r="G21" s="1007" t="str">
        <f>+VLOOKUP(Data_Validation!$A21,BV_Data_An_Cour!$L:$Q,6,0)</f>
        <v>1-Mémo</v>
      </c>
      <c r="H21" s="188"/>
      <c r="K21" s="164" t="s">
        <v>51</v>
      </c>
      <c r="N21" s="187"/>
    </row>
    <row r="22" spans="1:14" ht="15" customHeight="1">
      <c r="A22" s="168" t="s">
        <v>2249</v>
      </c>
      <c r="B22" s="169" t="s">
        <v>2248</v>
      </c>
      <c r="C22" s="955"/>
      <c r="D22" s="955"/>
      <c r="E22" s="1007"/>
      <c r="F22" s="1008"/>
      <c r="G22" s="1007" t="str">
        <f>+VLOOKUP(Data_Validation!$A22,BV_Data_An_Cour!$L:$Q,6,0)</f>
        <v>1-Mémo</v>
      </c>
      <c r="H22" s="188"/>
      <c r="K22" s="164" t="str">
        <f>Print_Mois!V429</f>
        <v>Bénéfices marginaux</v>
      </c>
      <c r="N22" s="187"/>
    </row>
    <row r="23" spans="1:14" ht="15" customHeight="1">
      <c r="A23" s="168" t="s">
        <v>2251</v>
      </c>
      <c r="B23" s="169" t="s">
        <v>2250</v>
      </c>
      <c r="C23" s="955"/>
      <c r="D23" s="955"/>
      <c r="E23" s="1007"/>
      <c r="F23" s="1008"/>
      <c r="G23" s="1007" t="str">
        <f>+VLOOKUP(Data_Validation!$A23,BV_Data_An_Cour!$L:$Q,6,0)</f>
        <v>1-Mémo</v>
      </c>
      <c r="H23" s="188"/>
      <c r="K23" s="164" t="s">
        <v>69</v>
      </c>
      <c r="N23" s="187"/>
    </row>
    <row r="24" spans="1:14" ht="15" customHeight="1">
      <c r="A24" s="168" t="s">
        <v>2253</v>
      </c>
      <c r="B24" s="169" t="s">
        <v>2252</v>
      </c>
      <c r="C24" s="955"/>
      <c r="D24" s="955"/>
      <c r="E24" s="1007"/>
      <c r="F24" s="1008"/>
      <c r="G24" s="1007" t="str">
        <f>+VLOOKUP(Data_Validation!$A24,BV_Data_An_Cour!$L:$Q,6,0)</f>
        <v>1-Mémo</v>
      </c>
      <c r="H24" s="188"/>
      <c r="K24" s="164" t="s">
        <v>1642</v>
      </c>
      <c r="N24" s="187"/>
    </row>
    <row r="25" spans="1:14" ht="15" customHeight="1">
      <c r="A25" s="168" t="s">
        <v>2255</v>
      </c>
      <c r="B25" s="169" t="s">
        <v>2254</v>
      </c>
      <c r="C25" s="955"/>
      <c r="D25" s="955"/>
      <c r="E25" s="1007"/>
      <c r="F25" s="1008"/>
      <c r="G25" s="1007" t="str">
        <f>+VLOOKUP(Data_Validation!$A25,BV_Data_An_Cour!$L:$Q,6,0)</f>
        <v>1-Mémo</v>
      </c>
      <c r="H25" s="188"/>
      <c r="K25" s="164" t="s">
        <v>191</v>
      </c>
      <c r="N25" s="187"/>
    </row>
    <row r="26" spans="1:14" ht="15" customHeight="1">
      <c r="A26" s="168" t="s">
        <v>2257</v>
      </c>
      <c r="B26" s="169" t="s">
        <v>2256</v>
      </c>
      <c r="C26" s="955"/>
      <c r="D26" s="955"/>
      <c r="E26" s="1007"/>
      <c r="F26" s="1008"/>
      <c r="G26" s="1007" t="str">
        <f>+VLOOKUP(Data_Validation!$A26,BV_Data_An_Cour!$L:$Q,6,0)</f>
        <v>1-Mémo</v>
      </c>
      <c r="H26" s="188"/>
      <c r="K26" s="164" t="s">
        <v>90</v>
      </c>
      <c r="N26" s="187"/>
    </row>
    <row r="27" spans="1:14" ht="15" customHeight="1">
      <c r="A27" s="168" t="s">
        <v>2259</v>
      </c>
      <c r="B27" s="169" t="s">
        <v>2258</v>
      </c>
      <c r="C27" s="955"/>
      <c r="D27" s="955"/>
      <c r="E27" s="1007"/>
      <c r="F27" s="1008"/>
      <c r="G27" s="1007" t="str">
        <f>+VLOOKUP(Data_Validation!$A27,BV_Data_An_Cour!$L:$Q,6,0)</f>
        <v>1-Mémo</v>
      </c>
      <c r="H27" s="188"/>
      <c r="K27" s="164" t="s">
        <v>67</v>
      </c>
      <c r="N27" s="187"/>
    </row>
    <row r="28" spans="1:14" ht="15" customHeight="1">
      <c r="A28" s="168" t="s">
        <v>2261</v>
      </c>
      <c r="B28" s="169" t="s">
        <v>2260</v>
      </c>
      <c r="C28" s="955"/>
      <c r="D28" s="955"/>
      <c r="E28" s="1007"/>
      <c r="F28" s="1008"/>
      <c r="G28" s="1007" t="str">
        <f>+VLOOKUP(Data_Validation!$A28,BV_Data_An_Cour!$L:$Q,6,0)</f>
        <v>1-Mémo</v>
      </c>
      <c r="H28" s="188"/>
      <c r="K28" s="164" t="str">
        <f>Print_Mois!C94</f>
        <v>Certifié</v>
      </c>
      <c r="N28" s="187"/>
    </row>
    <row r="29" spans="1:14" ht="15" customHeight="1">
      <c r="A29" s="168" t="s">
        <v>2263</v>
      </c>
      <c r="B29" s="169" t="s">
        <v>2262</v>
      </c>
      <c r="C29" s="955"/>
      <c r="D29" s="955"/>
      <c r="E29" s="1007"/>
      <c r="F29" s="1008"/>
      <c r="G29" s="1007" t="str">
        <f>+VLOOKUP(Data_Validation!$A29,BV_Data_An_Cour!$L:$Q,6,0)</f>
        <v>1-Mémo</v>
      </c>
      <c r="H29" s="188"/>
      <c r="K29" s="164" t="str">
        <f>Print_Mois!V457</f>
        <v>Chauffage, éclairage</v>
      </c>
      <c r="N29" s="187"/>
    </row>
    <row r="30" spans="1:14" ht="15" customHeight="1">
      <c r="A30" s="168" t="s">
        <v>2265</v>
      </c>
      <c r="B30" s="169" t="s">
        <v>2264</v>
      </c>
      <c r="C30" s="955"/>
      <c r="D30" s="955"/>
      <c r="E30" s="1007"/>
      <c r="F30" s="1008"/>
      <c r="G30" s="1007" t="str">
        <f>+VLOOKUP(Data_Validation!$A30,BV_Data_An_Cour!$L:$Q,6,0)</f>
        <v>1-Mémo</v>
      </c>
      <c r="H30" s="188"/>
      <c r="K30" s="164" t="str">
        <f>Print_Mois!C32</f>
        <v>Comm. F&amp;I</v>
      </c>
    </row>
    <row r="31" spans="1:14" ht="15" customHeight="1">
      <c r="A31" s="168" t="s">
        <v>2268</v>
      </c>
      <c r="B31" s="169" t="s">
        <v>2267</v>
      </c>
      <c r="C31" s="955"/>
      <c r="D31" s="955"/>
      <c r="E31" s="1007"/>
      <c r="F31" s="1008"/>
      <c r="G31" s="1007" t="str">
        <f>+VLOOKUP(Data_Validation!$A31,BV_Data_An_Cour!$L:$Q,6,0)</f>
        <v>1-Mémo</v>
      </c>
      <c r="H31" s="188"/>
      <c r="K31" s="164" t="str">
        <f>Print_Mois!C31</f>
        <v>Comm. vendeurs</v>
      </c>
    </row>
    <row r="32" spans="1:14" ht="15" customHeight="1">
      <c r="A32" s="168" t="s">
        <v>2270</v>
      </c>
      <c r="B32" s="169" t="s">
        <v>2269</v>
      </c>
      <c r="C32" s="955"/>
      <c r="D32" s="955"/>
      <c r="E32" s="1007"/>
      <c r="F32" s="1008"/>
      <c r="G32" s="1007" t="str">
        <f>+VLOOKUP(Data_Validation!$A32,BV_Data_An_Cour!$L:$Q,6,0)</f>
        <v>1-Mémo</v>
      </c>
      <c r="H32" s="188"/>
      <c r="K32" s="164" t="s">
        <v>16</v>
      </c>
    </row>
    <row r="33" spans="1:11" ht="15" customHeight="1">
      <c r="A33" s="168" t="s">
        <v>2272</v>
      </c>
      <c r="B33" s="169" t="s">
        <v>2271</v>
      </c>
      <c r="C33" s="955"/>
      <c r="D33" s="955"/>
      <c r="E33" s="1007"/>
      <c r="F33" s="1008"/>
      <c r="G33" s="1007" t="str">
        <f>+VLOOKUP(Data_Validation!$A33,BV_Data_An_Cour!$L:$Q,6,0)</f>
        <v>1-Mémo</v>
      </c>
      <c r="H33" s="188"/>
      <c r="K33" s="551" t="s">
        <v>1921</v>
      </c>
    </row>
    <row r="34" spans="1:11" ht="15" customHeight="1">
      <c r="A34" s="168" t="s">
        <v>2274</v>
      </c>
      <c r="B34" s="169" t="s">
        <v>2273</v>
      </c>
      <c r="C34" s="955"/>
      <c r="D34" s="955"/>
      <c r="E34" s="1007"/>
      <c r="F34" s="1008"/>
      <c r="G34" s="1007" t="str">
        <f>+VLOOKUP(Data_Validation!$A34,BV_Data_An_Cour!$L:$Q,6,0)</f>
        <v>1-Mémo</v>
      </c>
      <c r="H34" s="188"/>
      <c r="K34" s="164" t="s">
        <v>1661</v>
      </c>
    </row>
    <row r="35" spans="1:11" ht="15" customHeight="1">
      <c r="A35" s="169" t="s">
        <v>2277</v>
      </c>
      <c r="B35" s="169" t="s">
        <v>2276</v>
      </c>
      <c r="C35" s="955"/>
      <c r="D35" s="955"/>
      <c r="E35" s="1007"/>
      <c r="F35" s="1008"/>
      <c r="G35" s="1007" t="str">
        <f>+VLOOKUP(Data_Validation!$A35,BV_Data_An_Cour!$L:$Q,6,0)</f>
        <v>1-Mémo</v>
      </c>
      <c r="H35" s="188"/>
      <c r="K35" s="164" t="str">
        <f>Print_Mois!V430</f>
        <v>Csst</v>
      </c>
    </row>
    <row r="36" spans="1:11" ht="15" customHeight="1">
      <c r="A36" s="168" t="s">
        <v>2280</v>
      </c>
      <c r="B36" s="169" t="s">
        <v>2279</v>
      </c>
      <c r="C36" s="955"/>
      <c r="D36" s="955"/>
      <c r="E36" s="1007"/>
      <c r="F36" s="1008"/>
      <c r="G36" s="1007" t="str">
        <f>+VLOOKUP(Data_Validation!$A36,BV_Data_An_Cour!$L:$Q,6,0)</f>
        <v>1-Mémo</v>
      </c>
      <c r="H36" s="188"/>
      <c r="K36" s="164" t="s">
        <v>38</v>
      </c>
    </row>
    <row r="37" spans="1:11" ht="15" customHeight="1">
      <c r="A37" s="168" t="s">
        <v>2282</v>
      </c>
      <c r="B37" s="169" t="s">
        <v>2281</v>
      </c>
      <c r="C37" s="955"/>
      <c r="D37" s="955"/>
      <c r="E37" s="1007"/>
      <c r="F37" s="1008"/>
      <c r="G37" s="1007" t="str">
        <f>+VLOOKUP(Data_Validation!$A37,BV_Data_An_Cour!$L:$Q,6,0)</f>
        <v>1-Mémo</v>
      </c>
      <c r="H37" s="188"/>
      <c r="K37" s="164" t="str">
        <f>Print_Mois!V428</f>
        <v>Déduction à la source</v>
      </c>
    </row>
    <row r="38" spans="1:11" ht="15" customHeight="1">
      <c r="A38" s="168" t="s">
        <v>2284</v>
      </c>
      <c r="B38" s="169" t="s">
        <v>2283</v>
      </c>
      <c r="C38" s="955"/>
      <c r="D38" s="955"/>
      <c r="E38" s="1007"/>
      <c r="F38" s="1008"/>
      <c r="G38" s="1007" t="str">
        <f>+VLOOKUP(Data_Validation!$A38,BV_Data_An_Cour!$L:$Q,6,0)</f>
        <v>1-Mémo</v>
      </c>
      <c r="H38" s="188"/>
      <c r="K38" s="164" t="s">
        <v>22</v>
      </c>
    </row>
    <row r="39" spans="1:11" ht="15" customHeight="1">
      <c r="A39" s="168" t="s">
        <v>2286</v>
      </c>
      <c r="B39" s="169" t="s">
        <v>2285</v>
      </c>
      <c r="C39" s="955"/>
      <c r="D39" s="955"/>
      <c r="E39" s="1007"/>
      <c r="F39" s="1008"/>
      <c r="G39" s="1007" t="str">
        <f>+VLOOKUP(Data_Validation!$A39,BV_Data_An_Cour!$L:$Q,6,0)</f>
        <v>1-Mémo</v>
      </c>
      <c r="H39" s="188"/>
      <c r="K39" s="164" t="s">
        <v>54</v>
      </c>
    </row>
    <row r="40" spans="1:11" ht="15" customHeight="1">
      <c r="A40" s="168" t="s">
        <v>2288</v>
      </c>
      <c r="B40" s="169" t="s">
        <v>2287</v>
      </c>
      <c r="C40" s="955"/>
      <c r="D40" s="955"/>
      <c r="E40" s="1007"/>
      <c r="F40" s="1008"/>
      <c r="G40" s="1007" t="str">
        <f>+VLOOKUP(Data_Validation!$A40,BV_Data_An_Cour!$L:$Q,6,0)</f>
        <v>1-Mémo</v>
      </c>
      <c r="H40" s="188"/>
      <c r="K40" s="164" t="str">
        <f>Print_Mois!V445</f>
        <v>Divers</v>
      </c>
    </row>
    <row r="41" spans="1:11" ht="15" customHeight="1">
      <c r="A41" s="168" t="s">
        <v>2290</v>
      </c>
      <c r="B41" s="169" t="s">
        <v>2289</v>
      </c>
      <c r="C41" s="955"/>
      <c r="D41" s="955"/>
      <c r="E41" s="1010"/>
      <c r="F41" s="1010"/>
      <c r="G41" s="1010" t="str">
        <f>+VLOOKUP(Data_Validation!$A41,BV_Data_An_Cour!$L:$Q,6,0)</f>
        <v>1-Mémo</v>
      </c>
      <c r="H41" s="188"/>
      <c r="K41" s="164" t="s">
        <v>70</v>
      </c>
    </row>
    <row r="42" spans="1:11" ht="15" customHeight="1">
      <c r="A42" s="168" t="s">
        <v>2292</v>
      </c>
      <c r="B42" s="169" t="s">
        <v>2291</v>
      </c>
      <c r="C42" s="955"/>
      <c r="D42" s="955"/>
      <c r="E42" s="1007"/>
      <c r="F42" s="1008"/>
      <c r="G42" s="1007" t="str">
        <f>+VLOOKUP(Data_Validation!$A42,BV_Data_An_Cour!$L:$Q,6,0)</f>
        <v>1-Mémo</v>
      </c>
      <c r="H42" s="188"/>
      <c r="K42" s="164" t="str">
        <f>Print_Mois!V464</f>
        <v>[...]</v>
      </c>
    </row>
    <row r="43" spans="1:11" ht="15" customHeight="1">
      <c r="A43" s="168" t="s">
        <v>2294</v>
      </c>
      <c r="B43" s="169" t="s">
        <v>2293</v>
      </c>
      <c r="C43" s="955"/>
      <c r="D43" s="955"/>
      <c r="E43" s="1007"/>
      <c r="F43" s="1008"/>
      <c r="G43" s="1007" t="str">
        <f>+VLOOKUP(Data_Validation!$A43,BV_Data_An_Cour!$L:$Q,6,0)</f>
        <v>1-Mémo</v>
      </c>
      <c r="H43" s="188"/>
      <c r="K43" s="164" t="s">
        <v>30</v>
      </c>
    </row>
    <row r="44" spans="1:11" ht="15" customHeight="1">
      <c r="A44" s="168" t="s">
        <v>2296</v>
      </c>
      <c r="B44" s="169" t="s">
        <v>2295</v>
      </c>
      <c r="C44" s="955"/>
      <c r="D44" s="955"/>
      <c r="E44" s="1007"/>
      <c r="F44" s="1008"/>
      <c r="G44" s="1007" t="e">
        <f>+VLOOKUP(Data_Validation!$A44,BV_Data_An_Cour!$L:$Q,6,0)</f>
        <v>#N/A</v>
      </c>
      <c r="H44" s="188"/>
      <c r="K44" s="164" t="s">
        <v>32</v>
      </c>
    </row>
    <row r="45" spans="1:11" ht="15" customHeight="1">
      <c r="A45" s="168" t="s">
        <v>2298</v>
      </c>
      <c r="B45" s="169" t="s">
        <v>2297</v>
      </c>
      <c r="C45" s="955"/>
      <c r="D45" s="955"/>
      <c r="E45" s="1010"/>
      <c r="F45" s="1010"/>
      <c r="G45" s="1010" t="e">
        <f>+VLOOKUP(Data_Validation!$A45,BV_Data_An_Cour!$L:$Q,6,0)</f>
        <v>#N/A</v>
      </c>
      <c r="H45" s="188"/>
      <c r="K45" s="164" t="s">
        <v>8</v>
      </c>
    </row>
    <row r="46" spans="1:11" ht="15" customHeight="1">
      <c r="A46" s="168" t="s">
        <v>2300</v>
      </c>
      <c r="B46" s="169" t="s">
        <v>2299</v>
      </c>
      <c r="C46" s="955"/>
      <c r="D46" s="955"/>
      <c r="E46" s="1007"/>
      <c r="F46" s="1008"/>
      <c r="G46" s="1007" t="e">
        <f>+VLOOKUP(Data_Validation!$A46,BV_Data_An_Cour!$L:$Q,6,0)</f>
        <v>#N/A</v>
      </c>
      <c r="H46" s="188"/>
      <c r="K46" s="164" t="s">
        <v>62</v>
      </c>
    </row>
    <row r="47" spans="1:11" ht="15" customHeight="1">
      <c r="A47" s="168" t="s">
        <v>2302</v>
      </c>
      <c r="B47" s="169" t="s">
        <v>2301</v>
      </c>
      <c r="C47" s="955"/>
      <c r="D47" s="955"/>
      <c r="E47" s="1010"/>
      <c r="F47" s="1010"/>
      <c r="G47" s="1010" t="e">
        <f>+VLOOKUP(Data_Validation!$A47,BV_Data_An_Cour!$L:$Q,6,0)</f>
        <v>#N/A</v>
      </c>
      <c r="H47" s="188"/>
      <c r="K47" s="164" t="str">
        <f>Print_Mois!C35</f>
        <v>Entretien stock</v>
      </c>
    </row>
    <row r="48" spans="1:11" ht="15" customHeight="1">
      <c r="A48" s="168" t="s">
        <v>342</v>
      </c>
      <c r="B48" s="169" t="s">
        <v>2303</v>
      </c>
      <c r="C48" s="955"/>
      <c r="D48" s="955"/>
      <c r="E48" s="1007"/>
      <c r="F48" s="1008"/>
      <c r="G48" s="1007" t="e">
        <f>+VLOOKUP(Data_Validation!$A48,BV_Data_An_Cour!$L:$Q,6,0)</f>
        <v>#N/A</v>
      </c>
      <c r="H48" s="188"/>
      <c r="K48" s="164" t="s">
        <v>59</v>
      </c>
    </row>
    <row r="49" spans="1:11" ht="15" customHeight="1">
      <c r="A49" s="168" t="s">
        <v>2305</v>
      </c>
      <c r="B49" s="169" t="s">
        <v>2304</v>
      </c>
      <c r="C49" s="955"/>
      <c r="D49" s="955"/>
      <c r="E49" s="1007"/>
      <c r="F49" s="1008"/>
      <c r="G49" s="1007" t="str">
        <f>+VLOOKUP(Data_Validation!$A49,BV_Data_An_Cour!$L:$Q,6,0)</f>
        <v>1-Mémo</v>
      </c>
      <c r="H49" s="188"/>
      <c r="K49" s="164" t="s">
        <v>57</v>
      </c>
    </row>
    <row r="50" spans="1:11" ht="15" customHeight="1">
      <c r="A50" s="168" t="s">
        <v>2308</v>
      </c>
      <c r="B50" s="169" t="s">
        <v>2307</v>
      </c>
      <c r="C50" s="955"/>
      <c r="D50" s="955"/>
      <c r="E50" s="1007"/>
      <c r="F50" s="1008"/>
      <c r="G50" s="1007" t="str">
        <f>+VLOOKUP(Data_Validation!$A50,BV_Data_An_Cour!$L:$Q,6,0)</f>
        <v>1-Mémo</v>
      </c>
      <c r="H50" s="188"/>
      <c r="K50" s="164" t="s">
        <v>60</v>
      </c>
    </row>
    <row r="51" spans="1:11" ht="15" customHeight="1">
      <c r="A51" s="168" t="s">
        <v>2310</v>
      </c>
      <c r="B51" s="169" t="s">
        <v>2309</v>
      </c>
      <c r="C51" s="955"/>
      <c r="D51" s="955"/>
      <c r="E51" s="1007"/>
      <c r="F51" s="1008"/>
      <c r="G51" s="1007" t="str">
        <f>+VLOOKUP(Data_Validation!$A51,BV_Data_An_Cour!$L:$Q,6,0)</f>
        <v>1-Mémo</v>
      </c>
      <c r="H51" s="188"/>
      <c r="K51" s="164" t="str">
        <f>Print_Mois!C301</f>
        <v>Escomptes</v>
      </c>
    </row>
    <row r="52" spans="1:11" ht="15" customHeight="1">
      <c r="A52" s="168" t="s">
        <v>2312</v>
      </c>
      <c r="B52" s="169" t="s">
        <v>2311</v>
      </c>
      <c r="C52" s="955"/>
      <c r="D52" s="955"/>
      <c r="E52" s="1007"/>
      <c r="F52" s="1008"/>
      <c r="G52" s="1007" t="str">
        <f>+VLOOKUP(Data_Validation!$A52,BV_Data_An_Cour!$L:$Q,6,0)</f>
        <v>1-Mémo</v>
      </c>
      <c r="H52" s="188"/>
      <c r="K52" s="164" t="str">
        <f>Print_Mois!C15</f>
        <v>Ex-Démos et courtoisies</v>
      </c>
    </row>
    <row r="53" spans="1:11" ht="15" customHeight="1">
      <c r="A53" s="168" t="s">
        <v>2314</v>
      </c>
      <c r="B53" s="169" t="s">
        <v>2313</v>
      </c>
      <c r="C53" s="955"/>
      <c r="D53" s="955"/>
      <c r="E53" s="1007"/>
      <c r="F53" s="1008"/>
      <c r="G53" s="1007" t="str">
        <f>+VLOOKUP(Data_Validation!$A53,BV_Data_An_Cour!$L:$Q,6,0)</f>
        <v>1-Mémo</v>
      </c>
      <c r="H53" s="188"/>
      <c r="K53" s="164" t="str">
        <f>Print_Mois!C17</f>
        <v>Flottes</v>
      </c>
    </row>
    <row r="54" spans="1:11" ht="15" customHeight="1">
      <c r="A54" s="168" t="s">
        <v>2316</v>
      </c>
      <c r="B54" s="169" t="s">
        <v>2315</v>
      </c>
      <c r="C54" s="955"/>
      <c r="D54" s="955"/>
      <c r="E54" s="1007"/>
      <c r="F54" s="1008"/>
      <c r="G54" s="1007" t="str">
        <f>+VLOOKUP(Data_Validation!$A54,BV_Data_An_Cour!$L:$Q,6,0)</f>
        <v>1-Mémo</v>
      </c>
      <c r="H54" s="188"/>
      <c r="K54" s="164" t="s">
        <v>1673</v>
      </c>
    </row>
    <row r="55" spans="1:11" ht="15" customHeight="1">
      <c r="A55" s="168" t="s">
        <v>2318</v>
      </c>
      <c r="B55" s="169" t="s">
        <v>2317</v>
      </c>
      <c r="C55" s="955"/>
      <c r="D55" s="955"/>
      <c r="E55" s="1007"/>
      <c r="F55" s="1008"/>
      <c r="G55" s="1007" t="e">
        <f>+VLOOKUP(Data_Validation!$A55,BV_Data_An_Cour!$L:$Q,6,0)</f>
        <v>#N/A</v>
      </c>
      <c r="H55" s="188"/>
      <c r="K55" s="164" t="str">
        <f>Print_Mois!V446</f>
        <v>Formation</v>
      </c>
    </row>
    <row r="56" spans="1:11" ht="15" customHeight="1">
      <c r="A56" s="168" t="s">
        <v>2320</v>
      </c>
      <c r="B56" s="169" t="s">
        <v>2319</v>
      </c>
      <c r="C56" s="955"/>
      <c r="D56" s="955"/>
      <c r="E56" s="1007"/>
      <c r="F56" s="1008"/>
      <c r="G56" s="1007" t="e">
        <f>+VLOOKUP(Data_Validation!$A56,BV_Data_An_Cour!$L:$Q,6,0)</f>
        <v>#N/A</v>
      </c>
      <c r="H56" s="188"/>
      <c r="K56" s="164" t="str">
        <f>Print_Mois!V440</f>
        <v>Fournitures autres</v>
      </c>
    </row>
    <row r="57" spans="1:11" ht="15" customHeight="1">
      <c r="A57" s="168" t="s">
        <v>2322</v>
      </c>
      <c r="B57" s="169" t="s">
        <v>2321</v>
      </c>
      <c r="C57" s="955"/>
      <c r="D57" s="955"/>
      <c r="E57" s="1007"/>
      <c r="F57" s="1008"/>
      <c r="G57" s="1007" t="e">
        <f>+VLOOKUP(Data_Validation!$A57,BV_Data_An_Cour!$L:$Q,6,0)</f>
        <v>#N/A</v>
      </c>
      <c r="H57" s="188"/>
      <c r="K57" s="164" t="s">
        <v>1996</v>
      </c>
    </row>
    <row r="58" spans="1:11" ht="15" customHeight="1">
      <c r="A58" s="168" t="s">
        <v>2324</v>
      </c>
      <c r="B58" s="169" t="s">
        <v>2323</v>
      </c>
      <c r="C58" s="955"/>
      <c r="D58" s="955"/>
      <c r="E58" s="1007"/>
      <c r="F58" s="1008"/>
      <c r="G58" s="1007" t="e">
        <f>+VLOOKUP(Data_Validation!$A58,BV_Data_An_Cour!$L:$Q,6,0)</f>
        <v>#N/A</v>
      </c>
      <c r="H58" s="188"/>
      <c r="K58" s="164" t="str">
        <f>Print_Mois!V479</f>
        <v>Frais administration</v>
      </c>
    </row>
    <row r="59" spans="1:11" ht="15" customHeight="1">
      <c r="A59" s="168" t="s">
        <v>2326</v>
      </c>
      <c r="B59" s="169" t="s">
        <v>2325</v>
      </c>
      <c r="C59" s="955"/>
      <c r="D59" s="955"/>
      <c r="E59" s="1007"/>
      <c r="F59" s="1008"/>
      <c r="G59" s="1007" t="e">
        <f>+VLOOKUP(Data_Validation!$A59,BV_Data_An_Cour!$L:$Q,6,0)</f>
        <v>#N/A</v>
      </c>
      <c r="H59" s="188"/>
      <c r="K59" s="164" t="s">
        <v>134</v>
      </c>
    </row>
    <row r="60" spans="1:11" ht="15" customHeight="1">
      <c r="A60" s="950" t="s">
        <v>2328</v>
      </c>
      <c r="B60" s="171" t="s">
        <v>2327</v>
      </c>
      <c r="C60" s="955"/>
      <c r="D60" s="955"/>
      <c r="E60" s="1007" t="s">
        <v>1917</v>
      </c>
      <c r="F60" s="1007"/>
      <c r="G60" s="1007" t="str">
        <f>+VLOOKUP(Data_Validation!$A60,BV_Data_An_Cour!$L:$Q,6,0)</f>
        <v>1-Mémo</v>
      </c>
      <c r="H60" s="188"/>
      <c r="K60" s="164" t="str">
        <f>Print_Mois!V450</f>
        <v>[...]</v>
      </c>
    </row>
    <row r="61" spans="1:11" ht="15" customHeight="1">
      <c r="A61" s="950" t="s">
        <v>1526</v>
      </c>
      <c r="B61" s="171" t="s">
        <v>2329</v>
      </c>
      <c r="C61" s="955"/>
      <c r="D61" s="955"/>
      <c r="E61" s="1007" t="s">
        <v>1917</v>
      </c>
      <c r="F61" s="1007"/>
      <c r="G61" s="1007" t="str">
        <f>+VLOOKUP(Data_Validation!$A61,BV_Data_An_Cour!$L:$Q,6,0)</f>
        <v>1-Mémo</v>
      </c>
      <c r="H61" s="188"/>
      <c r="K61" s="164" t="str">
        <f>Print_Mois!V437</f>
        <v>Frais de déplacement</v>
      </c>
    </row>
    <row r="62" spans="1:11" ht="15" customHeight="1">
      <c r="A62" s="168" t="s">
        <v>884</v>
      </c>
      <c r="B62" s="169" t="s">
        <v>2330</v>
      </c>
      <c r="C62" s="955"/>
      <c r="D62" s="955"/>
      <c r="E62" s="1007" t="s">
        <v>1917</v>
      </c>
      <c r="F62" s="1007"/>
      <c r="G62" s="1007" t="str">
        <f>+VLOOKUP(Data_Validation!$A62,BV_Data_An_Cour!$L:$Q,6,0)</f>
        <v>1-Mémo</v>
      </c>
      <c r="H62" s="188"/>
      <c r="K62" s="164" t="str">
        <f>Print_Mois!C33</f>
        <v>Frais de livraison</v>
      </c>
    </row>
    <row r="63" spans="1:11" ht="15" customHeight="1">
      <c r="A63" s="168" t="s">
        <v>2332</v>
      </c>
      <c r="B63" s="169" t="s">
        <v>2331</v>
      </c>
      <c r="C63" s="955"/>
      <c r="D63" s="955"/>
      <c r="E63" s="1007" t="s">
        <v>1917</v>
      </c>
      <c r="F63" s="1007"/>
      <c r="G63" s="1007" t="str">
        <f>+VLOOKUP(Data_Validation!$A63,BV_Data_An_Cour!$L:$Q,6,0)</f>
        <v>1-Mémo</v>
      </c>
      <c r="H63" s="188"/>
      <c r="K63" s="164" t="s">
        <v>1682</v>
      </c>
    </row>
    <row r="64" spans="1:11" ht="15" customHeight="1">
      <c r="A64" s="950" t="s">
        <v>2334</v>
      </c>
      <c r="B64" s="171" t="s">
        <v>2333</v>
      </c>
      <c r="C64" s="955"/>
      <c r="D64" s="955"/>
      <c r="E64" s="1007" t="s">
        <v>1917</v>
      </c>
      <c r="F64" s="1007"/>
      <c r="G64" s="1007" t="str">
        <f>+VLOOKUP(Data_Validation!$A64,BV_Data_An_Cour!$L:$Q,6,0)</f>
        <v>1-Mémo</v>
      </c>
      <c r="H64" s="188"/>
      <c r="K64" s="164" t="s">
        <v>43</v>
      </c>
    </row>
    <row r="65" spans="1:11" ht="15" customHeight="1">
      <c r="A65" s="168" t="s">
        <v>2336</v>
      </c>
      <c r="B65" s="169" t="s">
        <v>2335</v>
      </c>
      <c r="C65" s="955"/>
      <c r="D65" s="955"/>
      <c r="E65" s="1007" t="s">
        <v>1917</v>
      </c>
      <c r="F65" s="1007"/>
      <c r="G65" s="1007" t="str">
        <f>+VLOOKUP(Data_Validation!$A65,BV_Data_An_Cour!$L:$Q,6,0)</f>
        <v>1-Mémo</v>
      </c>
      <c r="H65" s="188"/>
      <c r="K65" s="164" t="str">
        <f>Print_Mois!V444</f>
        <v>Frais postaux</v>
      </c>
    </row>
    <row r="66" spans="1:11" ht="15" customHeight="1">
      <c r="A66" s="950" t="s">
        <v>2338</v>
      </c>
      <c r="B66" s="171" t="s">
        <v>2337</v>
      </c>
      <c r="C66" s="955"/>
      <c r="D66" s="955"/>
      <c r="E66" s="1007" t="s">
        <v>1917</v>
      </c>
      <c r="F66" s="1007"/>
      <c r="G66" s="1007" t="str">
        <f>+VLOOKUP(Data_Validation!$A66,BV_Data_An_Cour!$L:$Q,6,0)</f>
        <v>1-Mémo</v>
      </c>
      <c r="H66" s="188"/>
      <c r="K66" s="164" t="s">
        <v>1684</v>
      </c>
    </row>
    <row r="67" spans="1:11" ht="15" customHeight="1">
      <c r="A67" s="950" t="s">
        <v>2340</v>
      </c>
      <c r="B67" s="171" t="s">
        <v>2339</v>
      </c>
      <c r="C67" s="955"/>
      <c r="D67" s="955"/>
      <c r="E67" s="1007" t="s">
        <v>1917</v>
      </c>
      <c r="F67" s="1007"/>
      <c r="G67" s="1007" t="str">
        <f>+VLOOKUP(Data_Validation!$A67,BV_Data_An_Cour!$L:$Q,6,0)</f>
        <v>1-Mémo</v>
      </c>
      <c r="H67" s="188"/>
      <c r="K67" s="164" t="str">
        <f>Print_Mois!V435</f>
        <v>Frais véhicules de cie</v>
      </c>
    </row>
    <row r="68" spans="1:11" ht="15" customHeight="1">
      <c r="A68" s="950" t="s">
        <v>2342</v>
      </c>
      <c r="B68" s="171" t="s">
        <v>2341</v>
      </c>
      <c r="C68" s="955"/>
      <c r="D68" s="955"/>
      <c r="E68" s="1007" t="s">
        <v>1917</v>
      </c>
      <c r="F68" s="1007"/>
      <c r="G68" s="1007" t="str">
        <f>+VLOOKUP(Data_Validation!$A68,BV_Data_An_Cour!$L:$Q,6,0)</f>
        <v>1-Mémo</v>
      </c>
      <c r="H68" s="188"/>
      <c r="K68" s="164" t="s">
        <v>1685</v>
      </c>
    </row>
    <row r="69" spans="1:11" ht="15" customHeight="1">
      <c r="A69" s="171" t="s">
        <v>2344</v>
      </c>
      <c r="B69" s="171" t="s">
        <v>2343</v>
      </c>
      <c r="C69" s="955"/>
      <c r="D69" s="955"/>
      <c r="E69" s="1007" t="s">
        <v>1917</v>
      </c>
      <c r="F69" s="1007"/>
      <c r="G69" s="1007" t="str">
        <f>+VLOOKUP(Data_Validation!$A69,BV_Data_An_Cour!$L:$Q,6,0)</f>
        <v>1-Mémo</v>
      </c>
      <c r="H69" s="188"/>
      <c r="K69" s="164" t="str">
        <f>Print_Mois!V469</f>
        <v>Holdbacks</v>
      </c>
    </row>
    <row r="70" spans="1:11" ht="15" customHeight="1">
      <c r="A70" s="950" t="s">
        <v>2346</v>
      </c>
      <c r="B70" s="171" t="s">
        <v>2345</v>
      </c>
      <c r="C70" s="955"/>
      <c r="D70" s="955"/>
      <c r="E70" s="1007" t="s">
        <v>1917</v>
      </c>
      <c r="F70" s="1007"/>
      <c r="G70" s="1007" t="str">
        <f>+VLOOKUP(Data_Validation!$A70,BV_Data_An_Cour!$L:$Q,6,0)</f>
        <v>1-Mémo</v>
      </c>
      <c r="H70" s="188"/>
      <c r="K70" s="164" t="str">
        <f>Print_Mois!V458</f>
        <v>Honoraires</v>
      </c>
    </row>
    <row r="71" spans="1:11" ht="15" customHeight="1">
      <c r="A71" s="168" t="s">
        <v>2349</v>
      </c>
      <c r="B71" s="169" t="s">
        <v>2348</v>
      </c>
      <c r="C71" s="955"/>
      <c r="D71" s="955"/>
      <c r="E71" s="1007" t="s">
        <v>1917</v>
      </c>
      <c r="F71" s="1007"/>
      <c r="G71" s="1007" t="str">
        <f>+VLOOKUP(Data_Validation!$A71,BV_Data_An_Cour!$L:$Q,6,0)</f>
        <v>1-Mémo</v>
      </c>
      <c r="H71" s="188"/>
      <c r="K71" s="164" t="str">
        <f>Print_Mois!C307</f>
        <v>Huiles et Graisse</v>
      </c>
    </row>
    <row r="72" spans="1:11" ht="15" customHeight="1">
      <c r="A72" s="950" t="s">
        <v>2351</v>
      </c>
      <c r="B72" s="171" t="s">
        <v>2350</v>
      </c>
      <c r="C72" s="955"/>
      <c r="D72" s="955"/>
      <c r="E72" s="1007" t="s">
        <v>1917</v>
      </c>
      <c r="F72" s="1007"/>
      <c r="G72" s="1007" t="str">
        <f>+VLOOKUP(Data_Validation!$A72,BV_Data_An_Cour!$L:$Q,6,0)</f>
        <v>1-Mémo</v>
      </c>
      <c r="H72" s="188"/>
      <c r="K72" s="164" t="s">
        <v>52</v>
      </c>
    </row>
    <row r="73" spans="1:11" ht="15" customHeight="1">
      <c r="A73" s="168" t="s">
        <v>2353</v>
      </c>
      <c r="B73" s="169" t="s">
        <v>2352</v>
      </c>
      <c r="C73" s="955"/>
      <c r="D73" s="955"/>
      <c r="E73" s="1007" t="s">
        <v>1917</v>
      </c>
      <c r="F73" s="1007"/>
      <c r="G73" s="1007" t="str">
        <f>+VLOOKUP(Data_Validation!$A73,BV_Data_An_Cour!$L:$Q,6,0)</f>
        <v>1-Mémo</v>
      </c>
      <c r="H73" s="188"/>
      <c r="K73" s="164" t="s">
        <v>20</v>
      </c>
    </row>
    <row r="74" spans="1:11" ht="15" customHeight="1">
      <c r="A74" s="1015" t="s">
        <v>2865</v>
      </c>
      <c r="B74" s="1015" t="s">
        <v>2864</v>
      </c>
      <c r="C74" s="955"/>
      <c r="D74" s="955"/>
      <c r="E74" s="1007" t="s">
        <v>1917</v>
      </c>
      <c r="F74" s="1008"/>
      <c r="G74" s="1007" t="str">
        <f>+VLOOKUP(Data_Validation!$A74,BV_Data_An_Cour!$L:$Q,6,0)</f>
        <v>1-Mémo</v>
      </c>
      <c r="H74" s="188"/>
      <c r="K74" s="164" t="s">
        <v>48</v>
      </c>
    </row>
    <row r="75" spans="1:11" ht="15" customHeight="1">
      <c r="A75" s="167" t="s">
        <v>2355</v>
      </c>
      <c r="B75" s="166" t="s">
        <v>2354</v>
      </c>
      <c r="C75" s="955"/>
      <c r="D75" s="955"/>
      <c r="E75" s="1007" t="s">
        <v>1917</v>
      </c>
      <c r="F75" s="1007"/>
      <c r="G75" s="1007" t="str">
        <f>+VLOOKUP(Data_Validation!$A75,BV_Data_An_Cour!$L:$Q,6,0)</f>
        <v>1-Mémo</v>
      </c>
      <c r="H75" s="188"/>
      <c r="K75" s="164" t="str">
        <f>Print_Mois!V436</f>
        <v>Informatique</v>
      </c>
    </row>
    <row r="76" spans="1:11" ht="15" customHeight="1">
      <c r="A76" s="167" t="s">
        <v>2358</v>
      </c>
      <c r="B76" s="166" t="s">
        <v>2357</v>
      </c>
      <c r="C76" s="955"/>
      <c r="D76" s="955"/>
      <c r="E76" s="1007" t="s">
        <v>1917</v>
      </c>
      <c r="F76" s="1007"/>
      <c r="G76" s="1007" t="str">
        <f>+VLOOKUP(Data_Validation!$A76,BV_Data_An_Cour!$L:$Q,6,0)</f>
        <v>1-Mémo</v>
      </c>
      <c r="H76" s="188"/>
      <c r="K76" s="164" t="s">
        <v>172</v>
      </c>
    </row>
    <row r="77" spans="1:11" ht="15" customHeight="1">
      <c r="A77" s="169" t="s">
        <v>2360</v>
      </c>
      <c r="B77" s="169" t="s">
        <v>2359</v>
      </c>
      <c r="C77" s="955"/>
      <c r="D77" s="955"/>
      <c r="E77" s="1007" t="s">
        <v>1917</v>
      </c>
      <c r="F77" s="1007"/>
      <c r="G77" s="1007" t="str">
        <f>+VLOOKUP(Data_Validation!$A77,BV_Data_An_Cour!$L:$Q,6,0)</f>
        <v>1-Mémo</v>
      </c>
      <c r="H77" s="188"/>
      <c r="K77" s="164" t="s">
        <v>109</v>
      </c>
    </row>
    <row r="78" spans="1:11" ht="15" customHeight="1">
      <c r="A78" s="167" t="s">
        <v>2362</v>
      </c>
      <c r="B78" s="166" t="s">
        <v>2361</v>
      </c>
      <c r="C78" s="955"/>
      <c r="D78" s="955"/>
      <c r="E78" s="1007" t="s">
        <v>1917</v>
      </c>
      <c r="F78" s="1007"/>
      <c r="G78" s="1007" t="str">
        <f>+VLOOKUP(Data_Validation!$A78,BV_Data_An_Cour!$L:$Q,6,0)</f>
        <v>1-Mémo</v>
      </c>
      <c r="H78" s="188"/>
      <c r="K78" s="164" t="str">
        <f>Print_Mois!V491</f>
        <v>Intérêts sur marge</v>
      </c>
    </row>
    <row r="79" spans="1:11" ht="15" customHeight="1">
      <c r="A79" s="167" t="s">
        <v>2364</v>
      </c>
      <c r="B79" s="166" t="s">
        <v>2363</v>
      </c>
      <c r="C79" s="955"/>
      <c r="D79" s="955"/>
      <c r="E79" s="1007" t="s">
        <v>1917</v>
      </c>
      <c r="F79" s="1007"/>
      <c r="G79" s="1007" t="str">
        <f>+VLOOKUP(Data_Validation!$A79,BV_Data_An_Cour!$L:$Q,6,0)</f>
        <v>1-Mémo</v>
      </c>
      <c r="H79" s="188"/>
      <c r="K79" s="164" t="str">
        <f>Print_Mois!V492</f>
        <v>Intérêts sur prêt</v>
      </c>
    </row>
    <row r="80" spans="1:11" ht="15" customHeight="1">
      <c r="A80" s="169" t="s">
        <v>2366</v>
      </c>
      <c r="B80" s="169" t="s">
        <v>2365</v>
      </c>
      <c r="C80" s="955"/>
      <c r="D80" s="955"/>
      <c r="E80" s="1007" t="s">
        <v>1917</v>
      </c>
      <c r="F80" s="1007"/>
      <c r="G80" s="1007" t="str">
        <f>+VLOOKUP(Data_Validation!$A80,BV_Data_An_Cour!$L:$Q,6,0)</f>
        <v>1-Mémo</v>
      </c>
      <c r="H80" s="188"/>
      <c r="K80" s="164" t="s">
        <v>33</v>
      </c>
    </row>
    <row r="81" spans="1:11" ht="15" customHeight="1">
      <c r="A81" s="167" t="s">
        <v>2369</v>
      </c>
      <c r="B81" s="166" t="s">
        <v>2368</v>
      </c>
      <c r="C81" s="955"/>
      <c r="D81" s="955"/>
      <c r="E81" s="1007" t="s">
        <v>1917</v>
      </c>
      <c r="F81" s="1007"/>
      <c r="G81" s="1007" t="str">
        <f>+VLOOKUP(Data_Validation!$A81,BV_Data_An_Cour!$L:$Q,6,0)</f>
        <v>1-Mémo</v>
      </c>
      <c r="H81" s="188"/>
      <c r="K81" s="164" t="s">
        <v>29</v>
      </c>
    </row>
    <row r="82" spans="1:11" ht="15" customHeight="1">
      <c r="A82" s="168" t="s">
        <v>2371</v>
      </c>
      <c r="B82" s="169" t="s">
        <v>2370</v>
      </c>
      <c r="C82" s="955"/>
      <c r="D82" s="955"/>
      <c r="E82" s="1007" t="s">
        <v>1917</v>
      </c>
      <c r="F82" s="1007"/>
      <c r="G82" s="1007" t="str">
        <f>+VLOOKUP(Data_Validation!$A82,BV_Data_An_Cour!$L:$Q,6,0)</f>
        <v>1-Mémo</v>
      </c>
      <c r="H82" s="188"/>
      <c r="K82" s="164" t="s">
        <v>31</v>
      </c>
    </row>
    <row r="83" spans="1:11" ht="15" customHeight="1">
      <c r="A83" s="167" t="s">
        <v>2373</v>
      </c>
      <c r="B83" s="166" t="s">
        <v>2372</v>
      </c>
      <c r="C83" s="955"/>
      <c r="D83" s="955"/>
      <c r="E83" s="1007" t="s">
        <v>1917</v>
      </c>
      <c r="F83" s="1007"/>
      <c r="G83" s="1007" t="str">
        <f>+VLOOKUP(Data_Validation!$A83,BV_Data_An_Cour!$L:$Q,6,0)</f>
        <v>1-Mémo</v>
      </c>
      <c r="H83" s="188"/>
      <c r="K83" s="164" t="str">
        <f>Print_Mois!V460</f>
        <v>Location équipement</v>
      </c>
    </row>
    <row r="84" spans="1:11" ht="15" customHeight="1">
      <c r="A84" s="168" t="s">
        <v>2375</v>
      </c>
      <c r="B84" s="169" t="s">
        <v>2374</v>
      </c>
      <c r="C84" s="955"/>
      <c r="D84" s="955"/>
      <c r="E84" s="1007" t="s">
        <v>1917</v>
      </c>
      <c r="F84" s="1010"/>
      <c r="G84" s="1010" t="str">
        <f>+VLOOKUP(Data_Validation!$A84,BV_Data_An_Cour!$L:$Q,6,0)</f>
        <v>1-Mémo</v>
      </c>
      <c r="H84" s="188"/>
      <c r="K84" s="164" t="str">
        <f>Print_Mois!V452</f>
        <v>Loyer</v>
      </c>
    </row>
    <row r="85" spans="1:11" ht="15" customHeight="1">
      <c r="A85" s="169" t="s">
        <v>2377</v>
      </c>
      <c r="B85" s="169" t="s">
        <v>2376</v>
      </c>
      <c r="C85" s="955"/>
      <c r="D85" s="955"/>
      <c r="E85" s="1007" t="s">
        <v>1917</v>
      </c>
      <c r="F85" s="1007"/>
      <c r="G85" s="1007" t="str">
        <f>+VLOOKUP(Data_Validation!$A85,BV_Data_An_Cour!$L:$Q,6,0)</f>
        <v>1-Mémo</v>
      </c>
      <c r="H85" s="188"/>
      <c r="K85" s="164" t="str">
        <f>Print_Mois!C243</f>
        <v>M/O Carrosserie</v>
      </c>
    </row>
    <row r="86" spans="1:11" ht="15" customHeight="1">
      <c r="A86" s="166" t="s">
        <v>2379</v>
      </c>
      <c r="B86" s="166" t="s">
        <v>2378</v>
      </c>
      <c r="C86" s="955"/>
      <c r="D86" s="955"/>
      <c r="E86" s="1007" t="s">
        <v>1917</v>
      </c>
      <c r="F86" s="1007"/>
      <c r="G86" s="1007" t="str">
        <f>+VLOOKUP(Data_Validation!$A86,BV_Data_An_Cour!$L:$Q,6,0)</f>
        <v>1-Mémo</v>
      </c>
      <c r="H86" s="188"/>
      <c r="K86" s="164" t="str">
        <f>Print_Mois!C171</f>
        <v>M/O Client</v>
      </c>
    </row>
    <row r="87" spans="1:11" ht="15" customHeight="1">
      <c r="A87" s="168" t="s">
        <v>2381</v>
      </c>
      <c r="B87" s="169" t="s">
        <v>2380</v>
      </c>
      <c r="C87" s="955"/>
      <c r="D87" s="955"/>
      <c r="E87" s="1007" t="s">
        <v>1917</v>
      </c>
      <c r="F87" s="1010"/>
      <c r="G87" s="1010" t="str">
        <f>+VLOOKUP(Data_Validation!$A87,BV_Data_An_Cour!$L:$Q,6,0)</f>
        <v>1-Mémo</v>
      </c>
      <c r="H87" s="188"/>
      <c r="K87" s="164" t="str">
        <f>Print_Mois!C180</f>
        <v>M/O Esthétique</v>
      </c>
    </row>
    <row r="88" spans="1:11" ht="15" customHeight="1">
      <c r="A88" s="167" t="s">
        <v>2383</v>
      </c>
      <c r="B88" s="166" t="s">
        <v>2382</v>
      </c>
      <c r="C88" s="955"/>
      <c r="D88" s="955"/>
      <c r="E88" s="1007" t="s">
        <v>1917</v>
      </c>
      <c r="F88" s="1007"/>
      <c r="G88" s="1007" t="str">
        <f>+VLOOKUP(Data_Validation!$A88,BV_Data_An_Cour!$L:$Q,6,0)</f>
        <v>1-Mémo</v>
      </c>
      <c r="H88" s="188"/>
      <c r="K88" s="164" t="str">
        <f>+Print_Mois!C246</f>
        <v>M/O Esthétique Carr.</v>
      </c>
    </row>
    <row r="89" spans="1:11" ht="15" customHeight="1">
      <c r="A89" s="167" t="s">
        <v>2385</v>
      </c>
      <c r="B89" s="166" t="s">
        <v>2384</v>
      </c>
      <c r="C89" s="955"/>
      <c r="D89" s="955"/>
      <c r="E89" s="1007" t="s">
        <v>1917</v>
      </c>
      <c r="F89" s="1007"/>
      <c r="G89" s="1007" t="str">
        <f>+VLOOKUP(Data_Validation!$A89,BV_Data_An_Cour!$L:$Q,6,0)</f>
        <v>1-Mémo</v>
      </c>
      <c r="H89" s="188"/>
      <c r="K89" s="164" t="str">
        <f>Print_Mois!C174</f>
        <v>M/O Garantie</v>
      </c>
    </row>
    <row r="90" spans="1:11" ht="15" customHeight="1">
      <c r="A90" s="950" t="s">
        <v>2387</v>
      </c>
      <c r="B90" s="171" t="s">
        <v>2386</v>
      </c>
      <c r="C90" s="955"/>
      <c r="D90" s="955"/>
      <c r="E90" s="1007" t="s">
        <v>1917</v>
      </c>
      <c r="F90" s="1008"/>
      <c r="G90" s="1007" t="str">
        <f>+VLOOKUP(Data_Validation!$A90,BV_Data_An_Cour!$L:$Q,6,0)</f>
        <v>1-Mémo</v>
      </c>
      <c r="H90" s="188"/>
      <c r="K90" s="164" t="str">
        <f>Print_Mois!C177</f>
        <v>M/O Interne</v>
      </c>
    </row>
    <row r="91" spans="1:11" ht="15" customHeight="1">
      <c r="A91" s="168" t="s">
        <v>2393</v>
      </c>
      <c r="B91" s="169" t="s">
        <v>2854</v>
      </c>
      <c r="C91" s="955" t="s">
        <v>1642</v>
      </c>
      <c r="D91" s="955" t="s">
        <v>8</v>
      </c>
      <c r="E91" s="1007" t="s">
        <v>1917</v>
      </c>
      <c r="F91" s="1008"/>
      <c r="G91" s="1007" t="str">
        <f>+VLOOKUP(Data_Validation!$A91,BV_Data_An_Cour!$L:$Q,6,0)</f>
        <v>2-Actifs</v>
      </c>
      <c r="H91" s="188"/>
      <c r="K91" s="164" t="s">
        <v>9</v>
      </c>
    </row>
    <row r="92" spans="1:11" ht="15" customHeight="1">
      <c r="A92" s="1015" t="s">
        <v>2897</v>
      </c>
      <c r="B92" s="1015" t="s">
        <v>2896</v>
      </c>
      <c r="C92" s="955" t="s">
        <v>1642</v>
      </c>
      <c r="D92" s="955" t="s">
        <v>8</v>
      </c>
      <c r="E92" s="1007" t="s">
        <v>1917</v>
      </c>
      <c r="F92" s="1008"/>
      <c r="G92" s="1007" t="str">
        <f>+VLOOKUP(Data_Validation!$A92,BV_Data_An_Cour!$L:$Q,6,0)</f>
        <v>2-Actifs</v>
      </c>
      <c r="H92" s="188"/>
      <c r="K92" s="164" t="s">
        <v>1700</v>
      </c>
    </row>
    <row r="93" spans="1:11" ht="15" customHeight="1">
      <c r="A93" s="1015" t="s">
        <v>2899</v>
      </c>
      <c r="B93" s="1015" t="s">
        <v>2898</v>
      </c>
      <c r="C93" s="955" t="s">
        <v>1642</v>
      </c>
      <c r="D93" s="955" t="s">
        <v>8</v>
      </c>
      <c r="E93" s="1007" t="s">
        <v>1917</v>
      </c>
      <c r="F93" s="1008"/>
      <c r="G93" s="1007" t="e">
        <f>+VLOOKUP(Data_Validation!$A93,BV_Data_An_Cour!$L:$Q,6,0)</f>
        <v>#N/A</v>
      </c>
      <c r="H93" s="188"/>
      <c r="K93" s="164" t="s">
        <v>58</v>
      </c>
    </row>
    <row r="94" spans="1:11" ht="15" customHeight="1">
      <c r="A94" s="1015" t="s">
        <v>2901</v>
      </c>
      <c r="B94" s="1015" t="s">
        <v>2900</v>
      </c>
      <c r="C94" s="955" t="s">
        <v>1642</v>
      </c>
      <c r="D94" s="955" t="s">
        <v>8</v>
      </c>
      <c r="E94" s="1007" t="s">
        <v>1917</v>
      </c>
      <c r="F94" s="1008"/>
      <c r="G94" s="1007" t="e">
        <f>+VLOOKUP(Data_Validation!$A94,BV_Data_An_Cour!$L:$Q,6,0)</f>
        <v>#N/A</v>
      </c>
      <c r="H94" s="188"/>
      <c r="K94" s="164" t="str">
        <f>Print_Mois!C95</f>
        <v>Non Certifié</v>
      </c>
    </row>
    <row r="95" spans="1:11" ht="15" customHeight="1">
      <c r="A95" s="168" t="s">
        <v>2390</v>
      </c>
      <c r="B95" s="169" t="s">
        <v>2389</v>
      </c>
      <c r="C95" s="955" t="s">
        <v>1642</v>
      </c>
      <c r="D95" s="955" t="s">
        <v>8</v>
      </c>
      <c r="E95" s="1007" t="s">
        <v>1917</v>
      </c>
      <c r="F95" s="1008"/>
      <c r="G95" s="1007" t="e">
        <f>+VLOOKUP(Data_Validation!$A95,BV_Data_An_Cour!$L:$Q,6,0)</f>
        <v>#N/A</v>
      </c>
      <c r="H95" s="188"/>
      <c r="K95" s="164" t="str">
        <f>Print_Mois!C296</f>
        <v>P/A Garantie</v>
      </c>
    </row>
    <row r="96" spans="1:11" ht="15" customHeight="1">
      <c r="A96" s="168" t="s">
        <v>2392</v>
      </c>
      <c r="B96" s="169" t="s">
        <v>2391</v>
      </c>
      <c r="C96" s="955" t="s">
        <v>1642</v>
      </c>
      <c r="D96" s="955" t="s">
        <v>8</v>
      </c>
      <c r="E96" s="1007" t="s">
        <v>1917</v>
      </c>
      <c r="F96" s="1008"/>
      <c r="G96" s="1007" t="str">
        <f>+VLOOKUP(Data_Validation!$A96,BV_Data_An_Cour!$L:$Q,6,0)</f>
        <v>2-Actifs</v>
      </c>
      <c r="H96" s="188"/>
      <c r="K96" s="164" t="str">
        <f>Print_Mois!V442</f>
        <v>Papeterie</v>
      </c>
    </row>
    <row r="97" spans="1:11" ht="15" customHeight="1">
      <c r="A97" s="168" t="s">
        <v>2184</v>
      </c>
      <c r="B97" s="169" t="s">
        <v>2183</v>
      </c>
      <c r="C97" s="955" t="s">
        <v>1642</v>
      </c>
      <c r="D97" s="955" t="s">
        <v>12</v>
      </c>
      <c r="E97" s="1007" t="s">
        <v>1917</v>
      </c>
      <c r="F97" s="1008"/>
      <c r="G97" s="1007" t="str">
        <f>+VLOOKUP(Data_Validation!$A97,BV_Data_An_Cour!$L:$Q,6,0)</f>
        <v>2-Actifs</v>
      </c>
      <c r="H97" s="188"/>
      <c r="K97" s="164" t="str">
        <f>Print_Mois!C295</f>
        <v>Pièces Ro Carrosserie</v>
      </c>
    </row>
    <row r="98" spans="1:11" ht="15" customHeight="1">
      <c r="A98" s="168" t="s">
        <v>2017</v>
      </c>
      <c r="B98" s="169" t="s">
        <v>2027</v>
      </c>
      <c r="C98" s="955" t="s">
        <v>1642</v>
      </c>
      <c r="D98" s="955" t="s">
        <v>13</v>
      </c>
      <c r="E98" s="1007" t="s">
        <v>1917</v>
      </c>
      <c r="F98" s="1008"/>
      <c r="G98" s="1007" t="str">
        <f>+VLOOKUP(Data_Validation!$A98,BV_Data_An_Cour!$L:$Q,6,0)</f>
        <v>2-Actifs</v>
      </c>
      <c r="H98" s="188"/>
      <c r="K98" s="164" t="str">
        <f>Print_Mois!C294</f>
        <v>Pièces Ro Clients</v>
      </c>
    </row>
    <row r="99" spans="1:11" ht="15" customHeight="1">
      <c r="A99" s="168" t="s">
        <v>2016</v>
      </c>
      <c r="B99" s="169" t="s">
        <v>2015</v>
      </c>
      <c r="C99" s="955" t="s">
        <v>1642</v>
      </c>
      <c r="D99" s="955" t="s">
        <v>13</v>
      </c>
      <c r="E99" s="1007" t="s">
        <v>1917</v>
      </c>
      <c r="F99" s="1008"/>
      <c r="G99" s="1007" t="str">
        <f>+VLOOKUP(Data_Validation!$A99,BV_Data_An_Cour!$L:$Q,6,0)</f>
        <v>2-Actifs</v>
      </c>
      <c r="H99" s="188"/>
      <c r="K99" s="164" t="s">
        <v>11</v>
      </c>
    </row>
    <row r="100" spans="1:11" ht="15" customHeight="1">
      <c r="A100" s="168" t="s">
        <v>2103</v>
      </c>
      <c r="B100" s="169" t="s">
        <v>2102</v>
      </c>
      <c r="C100" s="955" t="s">
        <v>1642</v>
      </c>
      <c r="D100" s="955" t="s">
        <v>17</v>
      </c>
      <c r="E100" s="1007" t="s">
        <v>1917</v>
      </c>
      <c r="F100" s="1008"/>
      <c r="G100" s="1007" t="str">
        <f>+VLOOKUP(Data_Validation!$A100,BV_Data_An_Cour!$L:$Q,6,0)</f>
        <v>2-Actifs</v>
      </c>
      <c r="H100" s="188"/>
      <c r="K100" s="164" t="str">
        <f>Print_Mois!V470</f>
        <v>Programme neuf 1</v>
      </c>
    </row>
    <row r="101" spans="1:11" ht="15" customHeight="1">
      <c r="A101" s="168" t="s">
        <v>2738</v>
      </c>
      <c r="B101" s="169" t="s">
        <v>2737</v>
      </c>
      <c r="C101" s="955" t="s">
        <v>1642</v>
      </c>
      <c r="D101" s="955" t="s">
        <v>21</v>
      </c>
      <c r="E101" s="1007" t="s">
        <v>1917</v>
      </c>
      <c r="F101" s="1008"/>
      <c r="G101" s="1007" t="str">
        <f>+VLOOKUP(Data_Validation!$A101,BV_Data_An_Cour!$L:$Q,6,0)</f>
        <v>2-Actifs</v>
      </c>
      <c r="H101" s="188"/>
      <c r="K101" s="164" t="str">
        <f>Print_Mois!V471</f>
        <v>Programme neuf 2</v>
      </c>
    </row>
    <row r="102" spans="1:11" ht="15" customHeight="1">
      <c r="A102" s="168" t="s">
        <v>2835</v>
      </c>
      <c r="B102" s="169" t="s">
        <v>2834</v>
      </c>
      <c r="C102" s="955" t="s">
        <v>1642</v>
      </c>
      <c r="D102" s="955" t="s">
        <v>15</v>
      </c>
      <c r="E102" s="1007" t="s">
        <v>1917</v>
      </c>
      <c r="F102" s="1008"/>
      <c r="G102" s="1007" t="str">
        <f>+VLOOKUP(Data_Validation!$A102,BV_Data_An_Cour!$L:$Q,6,0)</f>
        <v>2-Actifs</v>
      </c>
      <c r="H102" s="188"/>
      <c r="K102" s="164" t="str">
        <f>Print_Mois!V472</f>
        <v>Programme neuf 3</v>
      </c>
    </row>
    <row r="103" spans="1:11" ht="15" customHeight="1">
      <c r="A103" s="168" t="s">
        <v>2061</v>
      </c>
      <c r="B103" s="169" t="s">
        <v>2060</v>
      </c>
      <c r="C103" s="955" t="s">
        <v>1642</v>
      </c>
      <c r="D103" s="955" t="s">
        <v>19</v>
      </c>
      <c r="E103" s="1007" t="s">
        <v>1917</v>
      </c>
      <c r="F103" s="1008"/>
      <c r="G103" s="1007" t="str">
        <f>+VLOOKUP(Data_Validation!$A103,BV_Data_An_Cour!$L:$Q,6,0)</f>
        <v>2-Actifs</v>
      </c>
      <c r="H103" s="188"/>
      <c r="K103" s="164" t="s">
        <v>108</v>
      </c>
    </row>
    <row r="104" spans="1:11" ht="15" customHeight="1">
      <c r="A104" s="168" t="s">
        <v>2784</v>
      </c>
      <c r="B104" s="169" t="s">
        <v>2783</v>
      </c>
      <c r="C104" s="955" t="s">
        <v>1642</v>
      </c>
      <c r="D104" s="955" t="s">
        <v>1931</v>
      </c>
      <c r="E104" s="1007" t="s">
        <v>1917</v>
      </c>
      <c r="F104" s="1008"/>
      <c r="G104" s="1007" t="str">
        <f>+VLOOKUP(Data_Validation!$A104,BV_Data_An_Cour!$L:$Q,6,0)</f>
        <v>2-Actifs</v>
      </c>
      <c r="H104" s="188"/>
      <c r="K104" s="164" t="s">
        <v>121</v>
      </c>
    </row>
    <row r="105" spans="1:11" ht="15" customHeight="1">
      <c r="A105" s="168" t="s">
        <v>2021</v>
      </c>
      <c r="B105" s="169" t="s">
        <v>2020</v>
      </c>
      <c r="C105" s="955" t="s">
        <v>1642</v>
      </c>
      <c r="D105" s="955" t="s">
        <v>15</v>
      </c>
      <c r="E105" s="1007" t="s">
        <v>1917</v>
      </c>
      <c r="F105" s="1008"/>
      <c r="G105" s="1007" t="str">
        <f>+VLOOKUP(Data_Validation!$A105,BV_Data_An_Cour!$L:$Q,6,0)</f>
        <v>2-Actifs</v>
      </c>
      <c r="H105" s="188"/>
      <c r="K105" s="164" t="str">
        <f>Print_Mois!C19</f>
        <v>Rachat bail</v>
      </c>
    </row>
    <row r="106" spans="1:11" ht="15" customHeight="1">
      <c r="A106" s="1015" t="s">
        <v>2903</v>
      </c>
      <c r="B106" s="1015" t="s">
        <v>2902</v>
      </c>
      <c r="C106" s="955" t="s">
        <v>1642</v>
      </c>
      <c r="D106" s="955" t="s">
        <v>25</v>
      </c>
      <c r="E106" s="1007" t="s">
        <v>1917</v>
      </c>
      <c r="F106" s="1008"/>
      <c r="G106" s="1007" t="e">
        <f>+VLOOKUP(Data_Validation!$A106,BV_Data_An_Cour!$L:$Q,6,0)</f>
        <v>#N/A</v>
      </c>
      <c r="H106" s="188"/>
      <c r="K106" s="164" t="s">
        <v>25</v>
      </c>
    </row>
    <row r="107" spans="1:11" ht="15" customHeight="1">
      <c r="A107" s="168" t="s">
        <v>2622</v>
      </c>
      <c r="B107" s="169" t="s">
        <v>2621</v>
      </c>
      <c r="C107" s="955" t="s">
        <v>1642</v>
      </c>
      <c r="D107" s="955" t="s">
        <v>1931</v>
      </c>
      <c r="E107" s="1007" t="s">
        <v>1917</v>
      </c>
      <c r="F107" s="1008"/>
      <c r="G107" s="1007" t="e">
        <f>+VLOOKUP(Data_Validation!$A107,BV_Data_An_Cour!$L:$Q,6,0)</f>
        <v>#N/A</v>
      </c>
      <c r="H107" s="188"/>
      <c r="K107" s="164" t="s">
        <v>21</v>
      </c>
    </row>
    <row r="108" spans="1:11" ht="15" customHeight="1">
      <c r="A108" s="1135" t="s">
        <v>2823</v>
      </c>
      <c r="B108" s="1136" t="s">
        <v>2822</v>
      </c>
      <c r="C108" s="1137" t="s">
        <v>1642</v>
      </c>
      <c r="D108" s="1137" t="s">
        <v>18</v>
      </c>
      <c r="E108" s="1138" t="s">
        <v>1917</v>
      </c>
      <c r="F108" s="1139"/>
      <c r="G108" s="1138"/>
      <c r="H108" s="188"/>
      <c r="K108" s="164" t="s">
        <v>12</v>
      </c>
    </row>
    <row r="109" spans="1:11" ht="15" customHeight="1">
      <c r="A109" s="168" t="s">
        <v>2867</v>
      </c>
      <c r="B109" s="169" t="s">
        <v>2866</v>
      </c>
      <c r="C109" s="955" t="s">
        <v>1642</v>
      </c>
      <c r="D109" s="955" t="s">
        <v>17</v>
      </c>
      <c r="E109" s="1007" t="s">
        <v>1917</v>
      </c>
      <c r="F109" s="1008"/>
      <c r="G109" s="1009" t="str">
        <f>+VLOOKUP(Data_Validation!$A109,BV_Data_An_Cour!$L:$Q,6,0)</f>
        <v>2-Actifs</v>
      </c>
      <c r="H109" s="188"/>
      <c r="K109" s="164" t="s">
        <v>19</v>
      </c>
    </row>
    <row r="110" spans="1:11" ht="15" customHeight="1">
      <c r="A110" s="168" t="s">
        <v>2110</v>
      </c>
      <c r="B110" s="169" t="s">
        <v>2109</v>
      </c>
      <c r="C110" s="955" t="s">
        <v>1642</v>
      </c>
      <c r="D110" s="955" t="s">
        <v>29</v>
      </c>
      <c r="E110" s="1007" t="s">
        <v>1917</v>
      </c>
      <c r="F110" s="1008"/>
      <c r="G110" s="1007" t="str">
        <f>+VLOOKUP(Data_Validation!$A110,BV_Data_An_Cour!$L:$Q,6,0)</f>
        <v>2-Actifs</v>
      </c>
      <c r="H110" s="188"/>
      <c r="K110" s="164" t="s">
        <v>15</v>
      </c>
    </row>
    <row r="111" spans="1:11" ht="15" customHeight="1">
      <c r="A111" s="168" t="s">
        <v>2119</v>
      </c>
      <c r="B111" s="169" t="s">
        <v>2118</v>
      </c>
      <c r="C111" s="955" t="s">
        <v>1642</v>
      </c>
      <c r="D111" s="955" t="s">
        <v>29</v>
      </c>
      <c r="E111" s="1007" t="s">
        <v>1917</v>
      </c>
      <c r="F111" s="1008"/>
      <c r="G111" s="1007" t="str">
        <f>+VLOOKUP(Data_Validation!$A111,BV_Data_An_Cour!$L:$Q,6,0)</f>
        <v>2-Actifs</v>
      </c>
      <c r="H111" s="188"/>
      <c r="K111" s="164" t="s">
        <v>17</v>
      </c>
    </row>
    <row r="112" spans="1:11" ht="15" customHeight="1">
      <c r="A112" s="168" t="s">
        <v>2762</v>
      </c>
      <c r="B112" s="169" t="s">
        <v>2761</v>
      </c>
      <c r="C112" s="955" t="s">
        <v>1642</v>
      </c>
      <c r="D112" s="955" t="s">
        <v>31</v>
      </c>
      <c r="E112" s="1007" t="s">
        <v>1917</v>
      </c>
      <c r="F112" s="1008"/>
      <c r="G112" s="1007" t="str">
        <f>+VLOOKUP(Data_Validation!$A112,BV_Data_An_Cour!$L:$Q,6,0)</f>
        <v>2-Actifs</v>
      </c>
      <c r="H112" s="188"/>
      <c r="K112" s="164" t="s">
        <v>13</v>
      </c>
    </row>
    <row r="113" spans="1:11" ht="15" customHeight="1">
      <c r="A113" s="168" t="s">
        <v>2481</v>
      </c>
      <c r="B113" s="169" t="s">
        <v>2826</v>
      </c>
      <c r="C113" s="955" t="s">
        <v>1642</v>
      </c>
      <c r="D113" s="955" t="s">
        <v>31</v>
      </c>
      <c r="E113" s="1007" t="s">
        <v>1917</v>
      </c>
      <c r="F113" s="1008"/>
      <c r="G113" s="1007" t="str">
        <f>+VLOOKUP(Data_Validation!$A113,BV_Data_An_Cour!$L:$Q,6,0)</f>
        <v>2-Actifs</v>
      </c>
      <c r="H113" s="188"/>
      <c r="K113" s="164" t="s">
        <v>184</v>
      </c>
    </row>
    <row r="114" spans="1:11" s="570" customFormat="1" ht="15" customHeight="1">
      <c r="A114" s="1132" t="s">
        <v>2912</v>
      </c>
      <c r="B114" s="169" t="s">
        <v>2911</v>
      </c>
      <c r="C114" s="955"/>
      <c r="D114" s="955"/>
      <c r="E114" s="1007"/>
      <c r="F114" s="1008"/>
      <c r="G114" s="1007" t="s">
        <v>1</v>
      </c>
      <c r="H114" s="188"/>
      <c r="K114" s="164"/>
    </row>
    <row r="115" spans="1:11" ht="15" customHeight="1">
      <c r="A115" s="168" t="s">
        <v>2869</v>
      </c>
      <c r="B115" s="169" t="s">
        <v>2868</v>
      </c>
      <c r="C115" s="955" t="s">
        <v>1642</v>
      </c>
      <c r="D115" s="955" t="s">
        <v>29</v>
      </c>
      <c r="E115" s="1007" t="s">
        <v>1917</v>
      </c>
      <c r="F115" s="1008"/>
      <c r="G115" s="1009" t="str">
        <f>+VLOOKUP(Data_Validation!$A115,BV_Data_An_Cour!$L:$Q,6,0)</f>
        <v>2-Actifs</v>
      </c>
      <c r="H115" s="188"/>
      <c r="K115" s="164" t="str">
        <f>Print_Mois!V459</f>
        <v>Réparation équipement</v>
      </c>
    </row>
    <row r="116" spans="1:11" ht="15" customHeight="1">
      <c r="A116" s="168" t="s">
        <v>2871</v>
      </c>
      <c r="B116" s="169" t="s">
        <v>2870</v>
      </c>
      <c r="C116" s="955" t="s">
        <v>1642</v>
      </c>
      <c r="D116" s="955" t="s">
        <v>29</v>
      </c>
      <c r="E116" s="1007" t="s">
        <v>1917</v>
      </c>
      <c r="F116" s="1008"/>
      <c r="G116" s="1009" t="str">
        <f>+VLOOKUP(Data_Validation!$A116,BV_Data_An_Cour!$L:$Q,6,0)</f>
        <v>2-Actifs</v>
      </c>
      <c r="H116" s="188"/>
      <c r="K116" s="164" t="s">
        <v>1712</v>
      </c>
    </row>
    <row r="117" spans="1:11" ht="15" customHeight="1">
      <c r="A117" s="168" t="s">
        <v>2033</v>
      </c>
      <c r="B117" s="169" t="s">
        <v>2032</v>
      </c>
      <c r="C117" s="955" t="s">
        <v>1642</v>
      </c>
      <c r="D117" s="955" t="s">
        <v>33</v>
      </c>
      <c r="E117" s="1007" t="s">
        <v>1917</v>
      </c>
      <c r="F117" s="1008"/>
      <c r="G117" s="1007" t="str">
        <f>+VLOOKUP(Data_Validation!$A117,BV_Data_An_Cour!$L:$Q,6,0)</f>
        <v>2-Actifs</v>
      </c>
      <c r="H117" s="188"/>
      <c r="K117" s="164" t="str">
        <f>Print_Mois!C23</f>
        <v>Rev. Autres</v>
      </c>
    </row>
    <row r="118" spans="1:11" ht="15" customHeight="1">
      <c r="A118" s="168" t="s">
        <v>2874</v>
      </c>
      <c r="B118" s="169" t="s">
        <v>2873</v>
      </c>
      <c r="C118" s="955" t="s">
        <v>1642</v>
      </c>
      <c r="D118" s="955" t="s">
        <v>33</v>
      </c>
      <c r="E118" s="1007" t="s">
        <v>1917</v>
      </c>
      <c r="F118" s="1008"/>
      <c r="G118" s="1009" t="str">
        <f>+VLOOKUP(Data_Validation!$A118,BV_Data_An_Cour!$L:$Q,6,0)</f>
        <v>2-Actifs</v>
      </c>
      <c r="H118" s="188"/>
      <c r="K118" s="164" t="str">
        <f>Print_Mois!C21</f>
        <v>Rev. Finances</v>
      </c>
    </row>
    <row r="119" spans="1:11" ht="15" customHeight="1">
      <c r="A119" s="168" t="s">
        <v>2825</v>
      </c>
      <c r="B119" s="169" t="s">
        <v>2824</v>
      </c>
      <c r="C119" s="955" t="s">
        <v>1642</v>
      </c>
      <c r="D119" s="955" t="s">
        <v>33</v>
      </c>
      <c r="E119" s="1007" t="s">
        <v>1917</v>
      </c>
      <c r="F119" s="1008"/>
      <c r="G119" s="1007" t="str">
        <f>+VLOOKUP(Data_Validation!$A119,BV_Data_An_Cour!$L:$Q,6,0)</f>
        <v>2-Actifs</v>
      </c>
      <c r="H119" s="188"/>
      <c r="K119" s="164" t="str">
        <f>Print_Mois!C22</f>
        <v>Rev. Protections</v>
      </c>
    </row>
    <row r="120" spans="1:11" ht="15" customHeight="1">
      <c r="A120" s="168" t="s">
        <v>2741</v>
      </c>
      <c r="B120" s="169" t="s">
        <v>2740</v>
      </c>
      <c r="C120" s="955" t="s">
        <v>1642</v>
      </c>
      <c r="D120" s="955" t="s">
        <v>33</v>
      </c>
      <c r="E120" s="1007" t="s">
        <v>1917</v>
      </c>
      <c r="F120" s="1008"/>
      <c r="G120" s="1007" t="str">
        <f>+VLOOKUP(Data_Validation!$A120,BV_Data_An_Cour!$L:$Q,6,0)</f>
        <v>2-Actifs</v>
      </c>
      <c r="H120" s="188"/>
      <c r="K120" s="164" t="str">
        <f>Print_Mois!V468</f>
        <v>Revenus autres</v>
      </c>
    </row>
    <row r="121" spans="1:11" ht="15" customHeight="1">
      <c r="A121" s="168" t="s">
        <v>2590</v>
      </c>
      <c r="B121" s="169" t="s">
        <v>2589</v>
      </c>
      <c r="C121" s="955" t="s">
        <v>1642</v>
      </c>
      <c r="D121" s="955" t="s">
        <v>39</v>
      </c>
      <c r="E121" s="1007" t="s">
        <v>1917</v>
      </c>
      <c r="F121" s="1008"/>
      <c r="G121" s="1007" t="str">
        <f>+VLOOKUP(Data_Validation!$A121,BV_Data_An_Cour!$L:$Q,6,0)</f>
        <v>2-Actifs</v>
      </c>
      <c r="H121" s="188"/>
      <c r="K121" s="164" t="s">
        <v>36</v>
      </c>
    </row>
    <row r="122" spans="1:11" ht="15" customHeight="1">
      <c r="A122" s="168" t="s">
        <v>2764</v>
      </c>
      <c r="B122" s="169" t="s">
        <v>2763</v>
      </c>
      <c r="C122" s="955" t="s">
        <v>1642</v>
      </c>
      <c r="D122" s="955" t="s">
        <v>41</v>
      </c>
      <c r="E122" s="1007" t="s">
        <v>1917</v>
      </c>
      <c r="F122" s="1008"/>
      <c r="G122" s="1007" t="str">
        <f>+VLOOKUP(Data_Validation!$A122,BV_Data_An_Cour!$L:$Q,6,0)</f>
        <v>2-Actifs</v>
      </c>
      <c r="H122" s="188"/>
      <c r="K122" s="164" t="str">
        <f>Print_Mois!V422</f>
        <v>Salaires autres</v>
      </c>
    </row>
    <row r="123" spans="1:11" ht="15" customHeight="1">
      <c r="A123" s="168" t="s">
        <v>2141</v>
      </c>
      <c r="B123" s="169" t="s">
        <v>2140</v>
      </c>
      <c r="C123" s="955" t="s">
        <v>1642</v>
      </c>
      <c r="D123" s="955" t="s">
        <v>33</v>
      </c>
      <c r="E123" s="1007" t="s">
        <v>1917</v>
      </c>
      <c r="F123" s="1008"/>
      <c r="G123" s="1007" t="str">
        <f>+VLOOKUP(Data_Validation!$A123,BV_Data_An_Cour!$L:$Q,6,0)</f>
        <v>2-Actifs</v>
      </c>
      <c r="H123" s="188"/>
      <c r="K123" s="164" t="str">
        <f>Print_Mois!V420</f>
        <v>Salaires cadres</v>
      </c>
    </row>
    <row r="124" spans="1:11" ht="15" customHeight="1">
      <c r="A124" s="168">
        <v>1496</v>
      </c>
      <c r="B124" s="169" t="s">
        <v>2863</v>
      </c>
      <c r="C124" s="955" t="s">
        <v>1642</v>
      </c>
      <c r="D124" s="955" t="s">
        <v>33</v>
      </c>
      <c r="E124" s="1007" t="s">
        <v>1917</v>
      </c>
      <c r="F124" s="1008"/>
      <c r="G124" s="1009" t="e">
        <f>+VLOOKUP(Data_Validation!$A124,BV_Data_An_Cour!$L:$Q,6,0)</f>
        <v>#N/A</v>
      </c>
      <c r="H124" s="188"/>
      <c r="K124" s="164" t="str">
        <f>Print_Mois!C43</f>
        <v>Salaires commis</v>
      </c>
    </row>
    <row r="125" spans="1:11" ht="15" customHeight="1">
      <c r="A125" s="168" t="s">
        <v>2692</v>
      </c>
      <c r="B125" s="169" t="s">
        <v>2691</v>
      </c>
      <c r="C125" s="955" t="s">
        <v>1642</v>
      </c>
      <c r="D125" s="955" t="s">
        <v>33</v>
      </c>
      <c r="E125" s="1007" t="s">
        <v>1917</v>
      </c>
      <c r="F125" s="1008"/>
      <c r="G125" s="1007" t="str">
        <f>+VLOOKUP(Data_Validation!$A125,BV_Data_An_Cour!$L:$Q,6,0)</f>
        <v>2-Actifs</v>
      </c>
      <c r="H125" s="188"/>
      <c r="K125" s="164" t="str">
        <f>Print_Mois!V421</f>
        <v>Salaires commis</v>
      </c>
    </row>
    <row r="126" spans="1:11" ht="15" customHeight="1">
      <c r="A126" s="168" t="s">
        <v>2105</v>
      </c>
      <c r="B126" s="169" t="s">
        <v>2104</v>
      </c>
      <c r="C126" s="955" t="s">
        <v>1642</v>
      </c>
      <c r="D126" s="955" t="s">
        <v>43</v>
      </c>
      <c r="E126" s="1007" t="s">
        <v>1917</v>
      </c>
      <c r="F126" s="1008"/>
      <c r="G126" s="1007" t="str">
        <f>+VLOOKUP(Data_Validation!$A126,BV_Data_An_Cour!$L:$Q,6,0)</f>
        <v>2-Actifs</v>
      </c>
      <c r="H126" s="188"/>
      <c r="K126" s="164" t="str">
        <f>Print_Mois!V427</f>
        <v>Salaires en absences</v>
      </c>
    </row>
    <row r="127" spans="1:11" ht="15" customHeight="1">
      <c r="A127" s="168" t="s">
        <v>2131</v>
      </c>
      <c r="B127" s="169" t="s">
        <v>2130</v>
      </c>
      <c r="C127" s="955" t="s">
        <v>1642</v>
      </c>
      <c r="D127" s="955" t="s">
        <v>43</v>
      </c>
      <c r="E127" s="1007" t="s">
        <v>1917</v>
      </c>
      <c r="F127" s="1008"/>
      <c r="G127" s="1007" t="str">
        <f>+VLOOKUP(Data_Validation!$A127,BV_Data_An_Cour!$L:$Q,6,0)</f>
        <v>2-Actifs</v>
      </c>
      <c r="H127" s="188"/>
      <c r="K127" s="164" t="str">
        <f>Print_Mois!V419</f>
        <v>Salaires propriétaire</v>
      </c>
    </row>
    <row r="128" spans="1:11" ht="15" customHeight="1">
      <c r="A128" s="166" t="s">
        <v>2807</v>
      </c>
      <c r="B128" s="166" t="s">
        <v>2806</v>
      </c>
      <c r="C128" s="955" t="s">
        <v>1642</v>
      </c>
      <c r="D128" s="955" t="s">
        <v>43</v>
      </c>
      <c r="E128" s="1007" t="s">
        <v>1917</v>
      </c>
      <c r="F128" s="1008"/>
      <c r="G128" s="1007" t="str">
        <f>+VLOOKUP(Data_Validation!$A128,BV_Data_An_Cour!$L:$Q,6,0)</f>
        <v>2-Actifs</v>
      </c>
      <c r="H128" s="188"/>
      <c r="K128" s="164" t="str">
        <f>Print_Mois!V423</f>
        <v>Salaires spécialistes</v>
      </c>
    </row>
    <row r="129" spans="1:29" ht="15" customHeight="1">
      <c r="A129" s="166" t="s">
        <v>2395</v>
      </c>
      <c r="B129" s="166" t="s">
        <v>2394</v>
      </c>
      <c r="C129" s="955" t="s">
        <v>1642</v>
      </c>
      <c r="D129" s="955" t="s">
        <v>43</v>
      </c>
      <c r="E129" s="1007" t="s">
        <v>1917</v>
      </c>
      <c r="F129" s="1008"/>
      <c r="G129" s="1007" t="e">
        <f>+VLOOKUP(Data_Validation!$A129,BV_Data_An_Cour!$L:$Q,6,0)</f>
        <v>#N/A</v>
      </c>
      <c r="H129" s="188"/>
      <c r="K129" s="164" t="str">
        <f>Print_Mois!C34</f>
        <v>Service gratuit 1</v>
      </c>
    </row>
    <row r="130" spans="1:29" ht="15" customHeight="1">
      <c r="A130" s="166" t="s">
        <v>2643</v>
      </c>
      <c r="B130" s="166" t="s">
        <v>2642</v>
      </c>
      <c r="C130" s="955" t="s">
        <v>1642</v>
      </c>
      <c r="D130" s="955" t="s">
        <v>43</v>
      </c>
      <c r="E130" s="1007" t="s">
        <v>1917</v>
      </c>
      <c r="F130" s="1008"/>
      <c r="G130" s="1007" t="str">
        <f>+VLOOKUP(Data_Validation!$A130,BV_Data_An_Cour!$L:$Q,6,0)</f>
        <v>2-Actifs</v>
      </c>
      <c r="H130" s="188"/>
      <c r="K130" s="164" t="str">
        <f>Print_Mois!V434</f>
        <v>Service gratuit 2</v>
      </c>
    </row>
    <row r="131" spans="1:29" ht="15" customHeight="1">
      <c r="A131" s="168" t="s">
        <v>2153</v>
      </c>
      <c r="B131" s="169" t="s">
        <v>2152</v>
      </c>
      <c r="C131" s="955" t="s">
        <v>1642</v>
      </c>
      <c r="D131" s="955" t="s">
        <v>43</v>
      </c>
      <c r="E131" s="1007" t="s">
        <v>1917</v>
      </c>
      <c r="F131" s="1008"/>
      <c r="G131" s="1007" t="str">
        <f>+VLOOKUP(Data_Validation!$A131,BV_Data_An_Cour!$L:$Q,6,0)</f>
        <v>2-Actifs</v>
      </c>
      <c r="H131" s="188"/>
      <c r="I131" s="2"/>
      <c r="J131" s="2"/>
      <c r="K131" s="164" t="str">
        <f>Print_Mois!V438</f>
        <v>Services extérieurs</v>
      </c>
      <c r="L131" s="2"/>
      <c r="M131" s="2"/>
      <c r="P131" s="2"/>
      <c r="Q131" s="2"/>
      <c r="R131" s="2"/>
      <c r="S131" s="2"/>
      <c r="T131" s="2"/>
      <c r="U131" s="2"/>
      <c r="V131" s="2"/>
      <c r="W131" s="2"/>
      <c r="X131" s="2"/>
      <c r="Y131" s="2"/>
      <c r="Z131" s="2"/>
      <c r="AA131" s="2"/>
      <c r="AB131" s="2"/>
      <c r="AC131" s="2"/>
    </row>
    <row r="132" spans="1:29" ht="15" customHeight="1">
      <c r="A132" s="168" t="s">
        <v>2397</v>
      </c>
      <c r="B132" s="169" t="s">
        <v>2396</v>
      </c>
      <c r="C132" s="955" t="s">
        <v>1642</v>
      </c>
      <c r="D132" s="955" t="s">
        <v>43</v>
      </c>
      <c r="E132" s="1007" t="s">
        <v>1917</v>
      </c>
      <c r="F132" s="1008"/>
      <c r="G132" s="1007" t="e">
        <f>+VLOOKUP(Data_Validation!$A132,BV_Data_An_Cour!$L:$Q,6,0)</f>
        <v>#N/A</v>
      </c>
      <c r="H132" s="188"/>
      <c r="K132" s="164" t="s">
        <v>41</v>
      </c>
    </row>
    <row r="133" spans="1:29" ht="15" customHeight="1">
      <c r="A133" s="168">
        <v>1524</v>
      </c>
      <c r="B133" s="169" t="s">
        <v>2857</v>
      </c>
      <c r="C133" s="955" t="s">
        <v>1642</v>
      </c>
      <c r="D133" s="955" t="s">
        <v>43</v>
      </c>
      <c r="E133" s="1007" t="s">
        <v>1917</v>
      </c>
      <c r="F133" s="1008"/>
      <c r="G133" s="1009" t="e">
        <f>+VLOOKUP(Data_Validation!$A133,BV_Data_An_Cour!$L:$Q,6,0)</f>
        <v>#N/A</v>
      </c>
      <c r="H133" s="188"/>
      <c r="K133" s="164" t="str">
        <f>Print_Mois!C187</f>
        <v>Sous-traitement</v>
      </c>
    </row>
    <row r="134" spans="1:29" ht="15" customHeight="1">
      <c r="A134" s="168" t="s">
        <v>2125</v>
      </c>
      <c r="B134" s="169" t="s">
        <v>2124</v>
      </c>
      <c r="C134" s="955" t="s">
        <v>1642</v>
      </c>
      <c r="D134" s="955" t="s">
        <v>40</v>
      </c>
      <c r="E134" s="1007" t="s">
        <v>1917</v>
      </c>
      <c r="F134" s="1008"/>
      <c r="G134" s="1007" t="e">
        <f>+VLOOKUP(Data_Validation!$A134,BV_Data_An_Cour!$L:$Q,6,0)</f>
        <v>#N/A</v>
      </c>
      <c r="H134" s="188"/>
      <c r="K134" s="164" t="s">
        <v>121</v>
      </c>
    </row>
    <row r="135" spans="1:29" ht="15" customHeight="1">
      <c r="A135" s="168" t="s">
        <v>2606</v>
      </c>
      <c r="B135" s="169" t="s">
        <v>2605</v>
      </c>
      <c r="C135" s="955" t="s">
        <v>1642</v>
      </c>
      <c r="D135" s="955" t="s">
        <v>43</v>
      </c>
      <c r="E135" s="1007" t="s">
        <v>1917</v>
      </c>
      <c r="F135" s="1008"/>
      <c r="G135" s="1007" t="str">
        <f>+VLOOKUP(Data_Validation!$A135,BV_Data_An_Cour!$L:$Q,6,0)</f>
        <v>2-Actifs</v>
      </c>
      <c r="H135" s="188"/>
      <c r="K135" s="164" t="s">
        <v>91</v>
      </c>
    </row>
    <row r="136" spans="1:29" ht="15" customHeight="1">
      <c r="A136" s="168" t="s">
        <v>2182</v>
      </c>
      <c r="B136" s="169" t="s">
        <v>2181</v>
      </c>
      <c r="C136" s="955" t="s">
        <v>1642</v>
      </c>
      <c r="D136" s="955" t="s">
        <v>43</v>
      </c>
      <c r="E136" s="1007" t="s">
        <v>1917</v>
      </c>
      <c r="F136" s="1008"/>
      <c r="G136" s="1007" t="str">
        <f>+VLOOKUP(Data_Validation!$A136,BV_Data_An_Cour!$L:$Q,6,0)</f>
        <v>2-Actifs</v>
      </c>
      <c r="H136" s="188"/>
      <c r="K136" s="164" t="s">
        <v>237</v>
      </c>
    </row>
    <row r="137" spans="1:29" ht="15" customHeight="1">
      <c r="A137" s="168" t="s">
        <v>2200</v>
      </c>
      <c r="B137" s="169" t="s">
        <v>2199</v>
      </c>
      <c r="C137" s="955" t="s">
        <v>1642</v>
      </c>
      <c r="D137" s="955" t="s">
        <v>43</v>
      </c>
      <c r="E137" s="1007" t="s">
        <v>1917</v>
      </c>
      <c r="F137" s="1008"/>
      <c r="G137" s="1007" t="str">
        <f>+VLOOKUP(Data_Validation!$A137,BV_Data_An_Cour!$L:$Q,6,0)</f>
        <v>2-Actifs</v>
      </c>
      <c r="H137" s="188"/>
      <c r="K137" s="164" t="s">
        <v>239</v>
      </c>
    </row>
    <row r="138" spans="1:29" ht="15" customHeight="1">
      <c r="A138" s="168" t="s">
        <v>2399</v>
      </c>
      <c r="B138" s="169" t="s">
        <v>2398</v>
      </c>
      <c r="C138" s="955" t="s">
        <v>1642</v>
      </c>
      <c r="D138" s="955" t="s">
        <v>43</v>
      </c>
      <c r="E138" s="1007" t="s">
        <v>1917</v>
      </c>
      <c r="F138" s="1008"/>
      <c r="G138" s="1007" t="e">
        <f>+VLOOKUP(Data_Validation!$A138,BV_Data_An_Cour!$L:$Q,6,0)</f>
        <v>#N/A</v>
      </c>
      <c r="H138" s="188"/>
      <c r="K138" s="164" t="str">
        <f>Print_Mois!V455</f>
        <v>Taxe sur le capital</v>
      </c>
    </row>
    <row r="139" spans="1:29" ht="15" customHeight="1">
      <c r="A139" s="168" t="s">
        <v>2683</v>
      </c>
      <c r="B139" s="169" t="s">
        <v>2682</v>
      </c>
      <c r="C139" s="955" t="s">
        <v>1642</v>
      </c>
      <c r="D139" s="955" t="s">
        <v>43</v>
      </c>
      <c r="E139" s="1007" t="s">
        <v>1917</v>
      </c>
      <c r="F139" s="1008"/>
      <c r="G139" s="1007" t="str">
        <f>+VLOOKUP(Data_Validation!$A139,BV_Data_An_Cour!$L:$Q,6,0)</f>
        <v>2-Actifs</v>
      </c>
      <c r="H139" s="188"/>
      <c r="K139" s="164" t="s">
        <v>18</v>
      </c>
    </row>
    <row r="140" spans="1:29" ht="15" customHeight="1">
      <c r="A140" s="168" t="s">
        <v>2786</v>
      </c>
      <c r="B140" s="169" t="s">
        <v>2785</v>
      </c>
      <c r="C140" s="955" t="s">
        <v>1642</v>
      </c>
      <c r="D140" s="955" t="s">
        <v>43</v>
      </c>
      <c r="E140" s="1007" t="s">
        <v>1917</v>
      </c>
      <c r="F140" s="1008"/>
      <c r="G140" s="1007" t="str">
        <f>+VLOOKUP(Data_Validation!$A140,BV_Data_An_Cour!$L:$Q,6,0)</f>
        <v>2-Actifs</v>
      </c>
      <c r="H140" s="188"/>
      <c r="K140" s="164" t="str">
        <f>Print_Mois!V443</f>
        <v>Téléphone</v>
      </c>
    </row>
    <row r="141" spans="1:29" ht="15" customHeight="1">
      <c r="A141" s="168" t="s">
        <v>2202</v>
      </c>
      <c r="B141" s="169" t="s">
        <v>2201</v>
      </c>
      <c r="C141" s="955" t="s">
        <v>1642</v>
      </c>
      <c r="D141" s="955" t="s">
        <v>40</v>
      </c>
      <c r="E141" s="1007" t="s">
        <v>1917</v>
      </c>
      <c r="F141" s="1008"/>
      <c r="G141" s="1007" t="str">
        <f>+VLOOKUP(Data_Validation!$A141,BV_Data_An_Cour!$L:$Q,6,0)</f>
        <v>2-Actifs</v>
      </c>
      <c r="H141" s="188"/>
      <c r="K141" s="164" t="s">
        <v>39</v>
      </c>
    </row>
    <row r="142" spans="1:29" ht="15" customHeight="1">
      <c r="A142" s="168" t="s">
        <v>2187</v>
      </c>
      <c r="B142" s="169" t="s">
        <v>2186</v>
      </c>
      <c r="C142" s="955" t="s">
        <v>1642</v>
      </c>
      <c r="D142" s="955" t="s">
        <v>40</v>
      </c>
      <c r="E142" s="1007" t="s">
        <v>1917</v>
      </c>
      <c r="F142" s="1008"/>
      <c r="G142" s="1007" t="e">
        <f>+VLOOKUP(Data_Validation!$A142,BV_Data_An_Cour!$L:$Q,6,0)</f>
        <v>#N/A</v>
      </c>
      <c r="H142" s="188"/>
      <c r="K142" s="164" t="s">
        <v>128</v>
      </c>
    </row>
    <row r="143" spans="1:29" ht="15" customHeight="1">
      <c r="A143" s="168" t="s">
        <v>2123</v>
      </c>
      <c r="B143" s="169" t="s">
        <v>2122</v>
      </c>
      <c r="C143" s="955" t="s">
        <v>1642</v>
      </c>
      <c r="D143" s="955" t="s">
        <v>43</v>
      </c>
      <c r="E143" s="1007" t="s">
        <v>1917</v>
      </c>
      <c r="F143" s="1008"/>
      <c r="G143" s="1007" t="str">
        <f>+VLOOKUP(Data_Validation!$A143,BV_Data_An_Cour!$L:$Q,6,0)</f>
        <v>2-Actifs</v>
      </c>
      <c r="H143" s="188"/>
      <c r="K143" s="164" t="str">
        <f>Print_Mois!C99</f>
        <v>Ventes au Gros</v>
      </c>
    </row>
    <row r="144" spans="1:29" ht="15" customHeight="1">
      <c r="A144" s="168" t="s">
        <v>2117</v>
      </c>
      <c r="B144" s="169" t="s">
        <v>2116</v>
      </c>
      <c r="C144" s="955" t="s">
        <v>1642</v>
      </c>
      <c r="D144" s="955" t="s">
        <v>43</v>
      </c>
      <c r="E144" s="1007" t="s">
        <v>1917</v>
      </c>
      <c r="F144" s="1008"/>
      <c r="G144" s="1007" t="str">
        <f>+VLOOKUP(Data_Validation!$A144,BV_Data_An_Cour!$L:$Q,6,0)</f>
        <v>2-Actifs</v>
      </c>
      <c r="H144" s="188"/>
      <c r="K144" s="164" t="str">
        <f>Print_Mois!C299</f>
        <v>Ventes de Gros</v>
      </c>
    </row>
    <row r="145" spans="1:11" ht="15" customHeight="1">
      <c r="A145" s="168" t="s">
        <v>2143</v>
      </c>
      <c r="B145" s="169" t="s">
        <v>2142</v>
      </c>
      <c r="C145" s="955" t="s">
        <v>1642</v>
      </c>
      <c r="D145" s="955" t="s">
        <v>43</v>
      </c>
      <c r="E145" s="1007" t="s">
        <v>1917</v>
      </c>
      <c r="F145" s="1008"/>
      <c r="G145" s="1007" t="e">
        <f>+VLOOKUP(Data_Validation!$A145,BV_Data_An_Cour!$L:$Q,6,0)</f>
        <v>#N/A</v>
      </c>
      <c r="H145" s="188"/>
      <c r="K145" s="164" t="s">
        <v>181</v>
      </c>
    </row>
    <row r="146" spans="1:11" ht="15" customHeight="1">
      <c r="A146" s="168" t="s">
        <v>2178</v>
      </c>
      <c r="B146" s="169" t="s">
        <v>2177</v>
      </c>
      <c r="C146" s="955" t="s">
        <v>1642</v>
      </c>
      <c r="D146" s="955" t="s">
        <v>43</v>
      </c>
      <c r="E146" s="1007" t="s">
        <v>1917</v>
      </c>
      <c r="F146" s="1008"/>
      <c r="G146" s="1007" t="str">
        <f>+VLOOKUP(Data_Validation!$A146,BV_Data_An_Cour!$L:$Q,6,0)</f>
        <v>2-Actifs</v>
      </c>
      <c r="H146" s="188"/>
      <c r="K146" s="164" t="str">
        <f>Print_Mois!C297</f>
        <v>Ventes Internes</v>
      </c>
    </row>
    <row r="147" spans="1:11" ht="15" customHeight="1">
      <c r="A147" s="168" t="s">
        <v>2804</v>
      </c>
      <c r="B147" s="169" t="s">
        <v>2803</v>
      </c>
      <c r="C147" s="955" t="s">
        <v>1642</v>
      </c>
      <c r="D147" s="955" t="s">
        <v>43</v>
      </c>
      <c r="E147" s="1007" t="s">
        <v>1917</v>
      </c>
      <c r="F147" s="1008"/>
      <c r="G147" s="1007" t="str">
        <f>+VLOOKUP(Data_Validation!$A147,BV_Data_An_Cour!$L:$Q,6,0)</f>
        <v>2-Actifs</v>
      </c>
      <c r="H147" s="188"/>
      <c r="K147" s="164" t="str">
        <f>Print_Mois!C306</f>
        <v>Ventes Pneus</v>
      </c>
    </row>
    <row r="148" spans="1:11" ht="15" customHeight="1">
      <c r="A148" s="168" t="s">
        <v>2129</v>
      </c>
      <c r="B148" s="169" t="s">
        <v>478</v>
      </c>
      <c r="C148" s="955" t="s">
        <v>1642</v>
      </c>
      <c r="D148" s="955" t="s">
        <v>43</v>
      </c>
      <c r="E148" s="1007" t="s">
        <v>1917</v>
      </c>
      <c r="F148" s="1008"/>
      <c r="G148" s="1007" t="str">
        <f>+VLOOKUP(Data_Validation!$A148,BV_Data_An_Cour!$L:$Q,6,0)</f>
        <v>2-Actifs</v>
      </c>
      <c r="H148" s="188"/>
    </row>
    <row r="149" spans="1:11" ht="15" customHeight="1">
      <c r="A149" s="168" t="s">
        <v>2577</v>
      </c>
      <c r="B149" s="169" t="s">
        <v>2576</v>
      </c>
      <c r="C149" s="955" t="s">
        <v>1642</v>
      </c>
      <c r="D149" s="955" t="s">
        <v>43</v>
      </c>
      <c r="E149" s="1007" t="s">
        <v>1917</v>
      </c>
      <c r="F149" s="1008"/>
      <c r="G149" s="1007" t="e">
        <f>+VLOOKUP(Data_Validation!$A149,BV_Data_An_Cour!$L:$Q,6,0)</f>
        <v>#N/A</v>
      </c>
      <c r="H149" s="188"/>
    </row>
    <row r="150" spans="1:11" ht="15" customHeight="1">
      <c r="A150" s="168" t="s">
        <v>2575</v>
      </c>
      <c r="B150" s="169" t="s">
        <v>2574</v>
      </c>
      <c r="C150" s="955" t="s">
        <v>1642</v>
      </c>
      <c r="D150" s="955" t="s">
        <v>43</v>
      </c>
      <c r="E150" s="1007" t="s">
        <v>1917</v>
      </c>
      <c r="F150" s="1008"/>
      <c r="G150" s="1007" t="e">
        <f>+VLOOKUP(Data_Validation!$A150,BV_Data_An_Cour!$L:$Q,6,0)</f>
        <v>#N/A</v>
      </c>
      <c r="H150" s="188"/>
    </row>
    <row r="151" spans="1:11" ht="15" customHeight="1">
      <c r="A151" s="168" t="s">
        <v>2401</v>
      </c>
      <c r="B151" s="169" t="s">
        <v>2400</v>
      </c>
      <c r="C151" s="955" t="s">
        <v>1642</v>
      </c>
      <c r="D151" s="955" t="s">
        <v>53</v>
      </c>
      <c r="E151" s="1007" t="s">
        <v>1917</v>
      </c>
      <c r="F151" s="1008"/>
      <c r="G151" s="1007" t="str">
        <f>+VLOOKUP(Data_Validation!$A151,BV_Data_An_Cour!$L:$Q,6,0)</f>
        <v>2-Actifs</v>
      </c>
      <c r="H151" s="188"/>
    </row>
    <row r="152" spans="1:11" ht="15" customHeight="1">
      <c r="A152" s="168" t="s">
        <v>2157</v>
      </c>
      <c r="B152" s="169" t="s">
        <v>2156</v>
      </c>
      <c r="C152" s="955" t="s">
        <v>1642</v>
      </c>
      <c r="D152" s="955" t="s">
        <v>53</v>
      </c>
      <c r="E152" s="1007" t="s">
        <v>1917</v>
      </c>
      <c r="F152" s="1008"/>
      <c r="G152" s="1007" t="str">
        <f>+VLOOKUP(Data_Validation!$A152,BV_Data_An_Cour!$L:$Q,6,0)</f>
        <v>2-Actifs</v>
      </c>
      <c r="H152" s="188"/>
    </row>
    <row r="153" spans="1:11" ht="15" customHeight="1">
      <c r="A153" s="168" t="s">
        <v>2403</v>
      </c>
      <c r="B153" s="169" t="s">
        <v>2402</v>
      </c>
      <c r="C153" s="955" t="s">
        <v>1642</v>
      </c>
      <c r="D153" s="955" t="s">
        <v>57</v>
      </c>
      <c r="E153" s="1007" t="s">
        <v>1917</v>
      </c>
      <c r="F153" s="1008"/>
      <c r="G153" s="1007" t="str">
        <f>+VLOOKUP(Data_Validation!$A153,BV_Data_An_Cour!$L:$Q,6,0)</f>
        <v>2-Actifs</v>
      </c>
      <c r="H153" s="188"/>
    </row>
    <row r="154" spans="1:11" ht="15" customHeight="1">
      <c r="A154" s="168" t="s">
        <v>2127</v>
      </c>
      <c r="B154" s="169" t="s">
        <v>2126</v>
      </c>
      <c r="C154" s="955" t="s">
        <v>1642</v>
      </c>
      <c r="D154" s="955" t="s">
        <v>57</v>
      </c>
      <c r="E154" s="1007" t="s">
        <v>1917</v>
      </c>
      <c r="F154" s="1008"/>
      <c r="G154" s="1007" t="str">
        <f>+VLOOKUP(Data_Validation!$A154,BV_Data_An_Cour!$L:$Q,6,0)</f>
        <v>2-Actifs</v>
      </c>
      <c r="H154" s="165"/>
    </row>
    <row r="155" spans="1:11" ht="15" customHeight="1">
      <c r="A155" s="168" t="s">
        <v>2405</v>
      </c>
      <c r="B155" s="169" t="s">
        <v>2404</v>
      </c>
      <c r="C155" s="955" t="s">
        <v>1642</v>
      </c>
      <c r="D155" s="955" t="s">
        <v>57</v>
      </c>
      <c r="E155" s="1007" t="s">
        <v>1917</v>
      </c>
      <c r="F155" s="1008"/>
      <c r="G155" s="1007" t="str">
        <f>+VLOOKUP(Data_Validation!$A155,BV_Data_An_Cour!$L:$Q,6,0)</f>
        <v>2-Actifs</v>
      </c>
      <c r="H155" s="165"/>
    </row>
    <row r="156" spans="1:11" ht="15" customHeight="1">
      <c r="A156" s="168" t="s">
        <v>2198</v>
      </c>
      <c r="B156" s="169" t="s">
        <v>2197</v>
      </c>
      <c r="C156" s="955" t="s">
        <v>1642</v>
      </c>
      <c r="D156" s="955" t="s">
        <v>57</v>
      </c>
      <c r="E156" s="1007" t="s">
        <v>1917</v>
      </c>
      <c r="F156" s="1008"/>
      <c r="G156" s="1007" t="str">
        <f>+VLOOKUP(Data_Validation!$A156,BV_Data_An_Cour!$L:$Q,6,0)</f>
        <v>2-Actifs</v>
      </c>
      <c r="H156" s="165"/>
    </row>
    <row r="157" spans="1:11" ht="15" customHeight="1">
      <c r="A157" s="168" t="s">
        <v>2407</v>
      </c>
      <c r="B157" s="169" t="s">
        <v>2406</v>
      </c>
      <c r="C157" s="955" t="s">
        <v>1642</v>
      </c>
      <c r="D157" s="955" t="s">
        <v>60</v>
      </c>
      <c r="E157" s="1007" t="s">
        <v>1917</v>
      </c>
      <c r="F157" s="1008"/>
      <c r="G157" s="1007" t="str">
        <f>+VLOOKUP(Data_Validation!$A157,BV_Data_An_Cour!$L:$Q,6,0)</f>
        <v>2-Actifs</v>
      </c>
      <c r="H157" s="165"/>
    </row>
    <row r="158" spans="1:11" ht="15" customHeight="1">
      <c r="A158" s="168" t="s">
        <v>2571</v>
      </c>
      <c r="B158" s="169" t="s">
        <v>2570</v>
      </c>
      <c r="C158" s="955" t="s">
        <v>1642</v>
      </c>
      <c r="D158" s="955" t="s">
        <v>60</v>
      </c>
      <c r="E158" s="1007" t="s">
        <v>1917</v>
      </c>
      <c r="F158" s="1008"/>
      <c r="G158" s="1007" t="str">
        <f>+VLOOKUP(Data_Validation!$A158,BV_Data_An_Cour!$L:$Q,6,0)</f>
        <v>2-Actifs</v>
      </c>
      <c r="H158" s="165"/>
    </row>
    <row r="159" spans="1:11" ht="15" customHeight="1">
      <c r="A159" s="168" t="s">
        <v>2409</v>
      </c>
      <c r="B159" s="169" t="s">
        <v>2408</v>
      </c>
      <c r="C159" s="955" t="s">
        <v>1642</v>
      </c>
      <c r="D159" s="955" t="s">
        <v>58</v>
      </c>
      <c r="E159" s="1007" t="s">
        <v>1917</v>
      </c>
      <c r="F159" s="1008"/>
      <c r="G159" s="1007" t="str">
        <f>+VLOOKUP(Data_Validation!$A159,BV_Data_An_Cour!$L:$Q,6,0)</f>
        <v>2-Actifs</v>
      </c>
      <c r="H159" s="165"/>
    </row>
    <row r="160" spans="1:11" ht="15" customHeight="1">
      <c r="A160" s="168" t="s">
        <v>2164</v>
      </c>
      <c r="B160" s="169" t="s">
        <v>2163</v>
      </c>
      <c r="C160" s="955" t="s">
        <v>1642</v>
      </c>
      <c r="D160" s="955" t="s">
        <v>58</v>
      </c>
      <c r="E160" s="1007" t="s">
        <v>1917</v>
      </c>
      <c r="F160" s="1008"/>
      <c r="G160" s="1007" t="str">
        <f>+VLOOKUP(Data_Validation!$A160,BV_Data_An_Cour!$L:$Q,6,0)</f>
        <v>2-Actifs</v>
      </c>
      <c r="H160" s="165"/>
    </row>
    <row r="161" spans="1:11" ht="15" customHeight="1">
      <c r="A161" s="168" t="s">
        <v>2411</v>
      </c>
      <c r="B161" s="169" t="s">
        <v>2410</v>
      </c>
      <c r="C161" s="955" t="s">
        <v>1642</v>
      </c>
      <c r="D161" s="955" t="s">
        <v>57</v>
      </c>
      <c r="E161" s="1007" t="s">
        <v>1917</v>
      </c>
      <c r="F161" s="1008"/>
      <c r="G161" s="1007" t="str">
        <f>+VLOOKUP(Data_Validation!$A161,BV_Data_An_Cour!$L:$Q,6,0)</f>
        <v>2-Actifs</v>
      </c>
      <c r="H161" s="165"/>
    </row>
    <row r="162" spans="1:11" ht="15" customHeight="1">
      <c r="A162" s="168" t="s">
        <v>2413</v>
      </c>
      <c r="B162" s="169" t="s">
        <v>2412</v>
      </c>
      <c r="C162" s="955" t="s">
        <v>1642</v>
      </c>
      <c r="D162" s="955" t="s">
        <v>57</v>
      </c>
      <c r="E162" s="1007" t="s">
        <v>1917</v>
      </c>
      <c r="F162" s="1008"/>
      <c r="G162" s="1007" t="str">
        <f>+VLOOKUP(Data_Validation!$A162,BV_Data_An_Cour!$L:$Q,6,0)</f>
        <v>2-Actifs</v>
      </c>
      <c r="H162" s="165"/>
    </row>
    <row r="163" spans="1:11" ht="15" customHeight="1">
      <c r="A163" s="168" t="s">
        <v>2569</v>
      </c>
      <c r="B163" s="169" t="s">
        <v>2568</v>
      </c>
      <c r="C163" s="955" t="s">
        <v>1642</v>
      </c>
      <c r="D163" s="955" t="s">
        <v>59</v>
      </c>
      <c r="E163" s="1007" t="s">
        <v>1917</v>
      </c>
      <c r="F163" s="1008"/>
      <c r="G163" s="1007" t="str">
        <f>+VLOOKUP(Data_Validation!$A163,BV_Data_An_Cour!$L:$Q,6,0)</f>
        <v>2-Actifs</v>
      </c>
      <c r="H163" s="165"/>
    </row>
    <row r="164" spans="1:11" ht="15" customHeight="1">
      <c r="A164" s="168" t="s">
        <v>2155</v>
      </c>
      <c r="B164" s="169" t="s">
        <v>2154</v>
      </c>
      <c r="C164" s="955" t="s">
        <v>1642</v>
      </c>
      <c r="D164" s="955" t="s">
        <v>59</v>
      </c>
      <c r="E164" s="1007" t="s">
        <v>1917</v>
      </c>
      <c r="F164" s="1008"/>
      <c r="G164" s="1007" t="str">
        <f>+VLOOKUP(Data_Validation!$A164,BV_Data_An_Cour!$L:$Q,6,0)</f>
        <v>2-Actifs</v>
      </c>
      <c r="H164" s="165"/>
    </row>
    <row r="165" spans="1:11" ht="15" customHeight="1">
      <c r="A165" s="168" t="s">
        <v>2414</v>
      </c>
      <c r="B165" s="169" t="s">
        <v>822</v>
      </c>
      <c r="C165" s="955" t="s">
        <v>1642</v>
      </c>
      <c r="D165" s="955" t="s">
        <v>62</v>
      </c>
      <c r="E165" s="1007" t="s">
        <v>1917</v>
      </c>
      <c r="F165" s="1008"/>
      <c r="G165" s="1007" t="str">
        <f>+VLOOKUP(Data_Validation!$A165,BV_Data_An_Cour!$L:$Q,6,0)</f>
        <v>2-Actifs</v>
      </c>
      <c r="H165" s="165"/>
    </row>
    <row r="166" spans="1:11" ht="15" customHeight="1">
      <c r="A166" s="168" t="s">
        <v>2196</v>
      </c>
      <c r="B166" s="169" t="s">
        <v>2195</v>
      </c>
      <c r="C166" s="955" t="s">
        <v>1642</v>
      </c>
      <c r="D166" s="955" t="s">
        <v>62</v>
      </c>
      <c r="E166" s="1007" t="s">
        <v>1917</v>
      </c>
      <c r="F166" s="1008"/>
      <c r="G166" s="1007" t="str">
        <f>+VLOOKUP(Data_Validation!$A166,BV_Data_An_Cour!$L:$Q,6,0)</f>
        <v>2-Actifs</v>
      </c>
      <c r="H166" s="165"/>
      <c r="K166" s="2"/>
    </row>
    <row r="167" spans="1:11" ht="15" customHeight="1">
      <c r="A167" s="168" t="s">
        <v>2416</v>
      </c>
      <c r="B167" s="169" t="s">
        <v>2415</v>
      </c>
      <c r="C167" s="955" t="s">
        <v>1642</v>
      </c>
      <c r="D167" s="955" t="s">
        <v>65</v>
      </c>
      <c r="E167" s="1007" t="s">
        <v>1917</v>
      </c>
      <c r="F167" s="1008"/>
      <c r="G167" s="1007" t="str">
        <f>+VLOOKUP(Data_Validation!$A167,BV_Data_An_Cour!$L:$Q,6,0)</f>
        <v>2-Actifs</v>
      </c>
      <c r="H167" s="165"/>
    </row>
    <row r="168" spans="1:11" ht="15" customHeight="1">
      <c r="A168" s="168" t="s">
        <v>2753</v>
      </c>
      <c r="B168" s="169" t="s">
        <v>2752</v>
      </c>
      <c r="C168" s="955" t="s">
        <v>1642</v>
      </c>
      <c r="D168" s="955" t="s">
        <v>25</v>
      </c>
      <c r="E168" s="1007" t="s">
        <v>1917</v>
      </c>
      <c r="F168" s="1008"/>
      <c r="G168" s="1007" t="str">
        <f>+VLOOKUP(Data_Validation!$A168,BV_Data_An_Cour!$L:$Q,6,0)</f>
        <v>2-Actifs</v>
      </c>
      <c r="H168" s="165"/>
    </row>
    <row r="169" spans="1:11" ht="15" customHeight="1">
      <c r="A169" s="168" t="s">
        <v>2847</v>
      </c>
      <c r="B169" s="169" t="s">
        <v>2846</v>
      </c>
      <c r="C169" s="955" t="s">
        <v>1642</v>
      </c>
      <c r="D169" s="955" t="s">
        <v>30</v>
      </c>
      <c r="E169" s="1007" t="s">
        <v>1917</v>
      </c>
      <c r="F169" s="1008"/>
      <c r="G169" s="1007" t="str">
        <f>+VLOOKUP(Data_Validation!$A169,BV_Data_An_Cour!$L:$Q,6,0)</f>
        <v>3-Passifs</v>
      </c>
      <c r="H169" s="165"/>
    </row>
    <row r="170" spans="1:11" ht="15" customHeight="1">
      <c r="A170" s="168" t="s">
        <v>2037</v>
      </c>
      <c r="B170" s="169" t="s">
        <v>2036</v>
      </c>
      <c r="C170" s="955" t="s">
        <v>1642</v>
      </c>
      <c r="D170" s="955" t="s">
        <v>32</v>
      </c>
      <c r="E170" s="1007" t="s">
        <v>1917</v>
      </c>
      <c r="F170" s="1008"/>
      <c r="G170" s="1007" t="str">
        <f>+VLOOKUP(Data_Validation!$A170,BV_Data_An_Cour!$L:$Q,6,0)</f>
        <v>3-Passifs</v>
      </c>
      <c r="H170" s="165"/>
    </row>
    <row r="171" spans="1:11" ht="15" customHeight="1">
      <c r="A171" s="168" t="s">
        <v>2418</v>
      </c>
      <c r="B171" s="169" t="s">
        <v>2417</v>
      </c>
      <c r="C171" s="955" t="s">
        <v>1642</v>
      </c>
      <c r="D171" s="955" t="s">
        <v>11</v>
      </c>
      <c r="E171" s="1007" t="s">
        <v>1917</v>
      </c>
      <c r="F171" s="1008"/>
      <c r="G171" s="1007" t="str">
        <f>+VLOOKUP(Data_Validation!$A171,BV_Data_An_Cour!$L:$Q,6,0)</f>
        <v>3-Passifs</v>
      </c>
      <c r="H171" s="165"/>
    </row>
    <row r="172" spans="1:11" ht="15" customHeight="1">
      <c r="A172" s="169" t="s">
        <v>2204</v>
      </c>
      <c r="B172" s="169" t="s">
        <v>2203</v>
      </c>
      <c r="C172" s="955" t="s">
        <v>1642</v>
      </c>
      <c r="D172" s="955" t="s">
        <v>18</v>
      </c>
      <c r="E172" s="1007" t="s">
        <v>1917</v>
      </c>
      <c r="F172" s="1007"/>
      <c r="G172" s="1007" t="str">
        <f>+VLOOKUP(Data_Validation!$A172,BV_Data_An_Cour!$L:$Q,6,0)</f>
        <v>3-Passifs</v>
      </c>
      <c r="H172" s="165"/>
    </row>
    <row r="173" spans="1:11" ht="15" customHeight="1">
      <c r="A173" s="169" t="s">
        <v>2057</v>
      </c>
      <c r="B173" s="169" t="s">
        <v>2056</v>
      </c>
      <c r="C173" s="955" t="s">
        <v>1642</v>
      </c>
      <c r="D173" s="955" t="s">
        <v>18</v>
      </c>
      <c r="E173" s="1007" t="s">
        <v>1917</v>
      </c>
      <c r="F173" s="1007"/>
      <c r="G173" s="1007" t="str">
        <f>+VLOOKUP(Data_Validation!$A173,BV_Data_An_Cour!$L:$Q,6,0)</f>
        <v>3-Passifs</v>
      </c>
      <c r="H173" s="165"/>
    </row>
    <row r="174" spans="1:11" ht="15" customHeight="1">
      <c r="A174" s="169" t="s">
        <v>2797</v>
      </c>
      <c r="B174" s="169" t="s">
        <v>2796</v>
      </c>
      <c r="C174" s="955" t="s">
        <v>1642</v>
      </c>
      <c r="D174" s="955" t="s">
        <v>18</v>
      </c>
      <c r="E174" s="1007" t="s">
        <v>1917</v>
      </c>
      <c r="F174" s="1007"/>
      <c r="G174" s="1007" t="str">
        <f>+VLOOKUP(Data_Validation!$A174,BV_Data_An_Cour!$L:$Q,6,0)</f>
        <v>3-Passifs</v>
      </c>
      <c r="H174" s="165"/>
    </row>
    <row r="175" spans="1:11" ht="15" customHeight="1">
      <c r="A175" s="169" t="s">
        <v>2066</v>
      </c>
      <c r="B175" s="169" t="s">
        <v>2813</v>
      </c>
      <c r="C175" s="955" t="s">
        <v>1642</v>
      </c>
      <c r="D175" s="955" t="s">
        <v>18</v>
      </c>
      <c r="E175" s="1007" t="s">
        <v>1917</v>
      </c>
      <c r="F175" s="1007"/>
      <c r="G175" s="1007" t="str">
        <f>+VLOOKUP(Data_Validation!$A175,BV_Data_An_Cour!$L:$Q,6,0)</f>
        <v>3-Passifs</v>
      </c>
      <c r="H175" s="165"/>
    </row>
    <row r="176" spans="1:11" ht="15" customHeight="1">
      <c r="A176" s="169" t="s">
        <v>2065</v>
      </c>
      <c r="B176" s="169" t="s">
        <v>2064</v>
      </c>
      <c r="C176" s="955" t="s">
        <v>1642</v>
      </c>
      <c r="D176" s="955" t="s">
        <v>18</v>
      </c>
      <c r="E176" s="1007" t="s">
        <v>1917</v>
      </c>
      <c r="F176" s="1007"/>
      <c r="G176" s="1007" t="str">
        <f>+VLOOKUP(Data_Validation!$A176,BV_Data_An_Cour!$L:$Q,6,0)</f>
        <v>3-Passifs</v>
      </c>
      <c r="H176" s="165"/>
    </row>
    <row r="177" spans="1:8" ht="15" customHeight="1">
      <c r="A177" s="169" t="s">
        <v>2617</v>
      </c>
      <c r="B177" s="169" t="s">
        <v>2616</v>
      </c>
      <c r="C177" s="955" t="s">
        <v>1642</v>
      </c>
      <c r="D177" s="955" t="s">
        <v>18</v>
      </c>
      <c r="E177" s="1007" t="s">
        <v>1917</v>
      </c>
      <c r="F177" s="1007"/>
      <c r="G177" s="1007" t="str">
        <f>+VLOOKUP(Data_Validation!$A177,BV_Data_An_Cour!$L:$Q,6,0)</f>
        <v>3-Passifs</v>
      </c>
      <c r="H177" s="165"/>
    </row>
    <row r="178" spans="1:8" ht="15" customHeight="1">
      <c r="A178" s="169" t="s">
        <v>2819</v>
      </c>
      <c r="B178" s="169" t="s">
        <v>2818</v>
      </c>
      <c r="C178" s="955" t="s">
        <v>1642</v>
      </c>
      <c r="D178" s="955" t="s">
        <v>26</v>
      </c>
      <c r="E178" s="1007" t="s">
        <v>1917</v>
      </c>
      <c r="F178" s="1007"/>
      <c r="G178" s="1007" t="str">
        <f>+VLOOKUP(Data_Validation!$A178,BV_Data_An_Cour!$L:$Q,6,0)</f>
        <v>3-Passifs</v>
      </c>
      <c r="H178" s="165"/>
    </row>
    <row r="179" spans="1:8" ht="15" customHeight="1">
      <c r="A179" s="169" t="s">
        <v>2134</v>
      </c>
      <c r="B179" s="169" t="s">
        <v>2173</v>
      </c>
      <c r="C179" s="955" t="s">
        <v>1642</v>
      </c>
      <c r="D179" s="955" t="s">
        <v>26</v>
      </c>
      <c r="E179" s="1007" t="s">
        <v>1917</v>
      </c>
      <c r="F179" s="1007"/>
      <c r="G179" s="1007" t="str">
        <f>+VLOOKUP(Data_Validation!$A179,BV_Data_An_Cour!$L:$Q,6,0)</f>
        <v>3-Passifs</v>
      </c>
      <c r="H179" s="165"/>
    </row>
    <row r="180" spans="1:8" ht="15" customHeight="1">
      <c r="A180" s="168" t="s">
        <v>2773</v>
      </c>
      <c r="B180" s="169" t="s">
        <v>2772</v>
      </c>
      <c r="C180" s="955" t="s">
        <v>1642</v>
      </c>
      <c r="D180" s="955" t="s">
        <v>26</v>
      </c>
      <c r="E180" s="1007" t="s">
        <v>1917</v>
      </c>
      <c r="F180" s="1008"/>
      <c r="G180" s="1007" t="str">
        <f>+VLOOKUP(Data_Validation!$A180,BV_Data_An_Cour!$L:$Q,6,0)</f>
        <v>3-Passifs</v>
      </c>
      <c r="H180" s="165"/>
    </row>
    <row r="181" spans="1:8" ht="15" customHeight="1">
      <c r="A181" s="168" t="s">
        <v>2747</v>
      </c>
      <c r="B181" s="169" t="s">
        <v>2746</v>
      </c>
      <c r="C181" s="955" t="s">
        <v>1642</v>
      </c>
      <c r="D181" s="955" t="s">
        <v>26</v>
      </c>
      <c r="E181" s="1007" t="s">
        <v>1917</v>
      </c>
      <c r="F181" s="1008"/>
      <c r="G181" s="1007" t="str">
        <f>+VLOOKUP(Data_Validation!$A181,BV_Data_An_Cour!$L:$Q,6,0)</f>
        <v>3-Passifs</v>
      </c>
      <c r="H181" s="165"/>
    </row>
    <row r="182" spans="1:8" ht="15" customHeight="1">
      <c r="A182" s="168" t="s">
        <v>2010</v>
      </c>
      <c r="B182" s="169" t="s">
        <v>2009</v>
      </c>
      <c r="C182" s="955" t="s">
        <v>1642</v>
      </c>
      <c r="D182" s="955" t="s">
        <v>16</v>
      </c>
      <c r="E182" s="1007" t="s">
        <v>1917</v>
      </c>
      <c r="F182" s="1008"/>
      <c r="G182" s="1007" t="str">
        <f>+VLOOKUP(Data_Validation!$A182,BV_Data_An_Cour!$L:$Q,6,0)</f>
        <v>3-Passifs</v>
      </c>
      <c r="H182" s="165"/>
    </row>
    <row r="183" spans="1:8" ht="15" customHeight="1">
      <c r="A183" s="168" t="s">
        <v>2050</v>
      </c>
      <c r="B183" s="169" t="s">
        <v>2049</v>
      </c>
      <c r="C183" s="955" t="s">
        <v>1642</v>
      </c>
      <c r="D183" s="955" t="s">
        <v>26</v>
      </c>
      <c r="E183" s="1007" t="s">
        <v>1917</v>
      </c>
      <c r="F183" s="1008"/>
      <c r="G183" s="1007" t="str">
        <f>+VLOOKUP(Data_Validation!$A183,BV_Data_An_Cour!$L:$Q,6,0)</f>
        <v>3-Passifs</v>
      </c>
      <c r="H183" s="165"/>
    </row>
    <row r="184" spans="1:8" ht="15" customHeight="1">
      <c r="A184" s="168" t="s">
        <v>2133</v>
      </c>
      <c r="B184" s="169" t="s">
        <v>2132</v>
      </c>
      <c r="C184" s="955" t="s">
        <v>1642</v>
      </c>
      <c r="D184" s="955" t="s">
        <v>40</v>
      </c>
      <c r="E184" s="1007" t="s">
        <v>1917</v>
      </c>
      <c r="F184" s="1008"/>
      <c r="G184" s="1007" t="e">
        <f>+VLOOKUP(Data_Validation!$A184,BV_Data_An_Cour!$L:$Q,6,0)</f>
        <v>#N/A</v>
      </c>
      <c r="H184" s="165"/>
    </row>
    <row r="185" spans="1:8" ht="15" customHeight="1">
      <c r="A185" s="168" t="s">
        <v>2420</v>
      </c>
      <c r="B185" s="169" t="s">
        <v>2419</v>
      </c>
      <c r="C185" s="955" t="s">
        <v>1642</v>
      </c>
      <c r="D185" s="955" t="s">
        <v>40</v>
      </c>
      <c r="E185" s="1007" t="s">
        <v>1917</v>
      </c>
      <c r="F185" s="1008"/>
      <c r="G185" s="1007" t="str">
        <f>+VLOOKUP(Data_Validation!$A185,BV_Data_An_Cour!$L:$Q,6,0)</f>
        <v>3-Passifs</v>
      </c>
      <c r="H185" s="165"/>
    </row>
    <row r="186" spans="1:8" ht="15" customHeight="1">
      <c r="A186" s="168" t="s">
        <v>2147</v>
      </c>
      <c r="B186" s="169" t="s">
        <v>2146</v>
      </c>
      <c r="C186" s="955" t="s">
        <v>1642</v>
      </c>
      <c r="D186" s="955" t="s">
        <v>40</v>
      </c>
      <c r="E186" s="1007" t="s">
        <v>1917</v>
      </c>
      <c r="F186" s="1008"/>
      <c r="G186" s="1007" t="str">
        <f>+VLOOKUP(Data_Validation!$A186,BV_Data_An_Cour!$L:$Q,6,0)</f>
        <v>3-Passifs</v>
      </c>
      <c r="H186" s="165"/>
    </row>
    <row r="187" spans="1:8" ht="15" customHeight="1">
      <c r="A187" s="168" t="s">
        <v>2162</v>
      </c>
      <c r="B187" s="169" t="s">
        <v>2710</v>
      </c>
      <c r="C187" s="955" t="s">
        <v>1642</v>
      </c>
      <c r="D187" s="955" t="s">
        <v>38</v>
      </c>
      <c r="E187" s="1007" t="s">
        <v>1917</v>
      </c>
      <c r="F187" s="1008"/>
      <c r="G187" s="1007" t="str">
        <f>+VLOOKUP(Data_Validation!$A187,BV_Data_An_Cour!$L:$Q,6,0)</f>
        <v>3-Passifs</v>
      </c>
      <c r="H187" s="165"/>
    </row>
    <row r="188" spans="1:8" ht="15" customHeight="1">
      <c r="A188" s="168" t="s">
        <v>2161</v>
      </c>
      <c r="B188" s="169" t="s">
        <v>2160</v>
      </c>
      <c r="C188" s="955" t="s">
        <v>1642</v>
      </c>
      <c r="D188" s="955" t="s">
        <v>38</v>
      </c>
      <c r="E188" s="1007" t="s">
        <v>1917</v>
      </c>
      <c r="F188" s="1008"/>
      <c r="G188" s="1007" t="str">
        <f>+VLOOKUP(Data_Validation!$A188,BV_Data_An_Cour!$L:$Q,6,0)</f>
        <v>3-Passifs</v>
      </c>
      <c r="H188" s="165"/>
    </row>
    <row r="189" spans="1:8" ht="15" customHeight="1">
      <c r="A189" s="168" t="s">
        <v>2750</v>
      </c>
      <c r="B189" s="169" t="s">
        <v>2749</v>
      </c>
      <c r="C189" s="955" t="s">
        <v>1642</v>
      </c>
      <c r="D189" s="955" t="s">
        <v>38</v>
      </c>
      <c r="E189" s="1007" t="s">
        <v>1917</v>
      </c>
      <c r="F189" s="1008"/>
      <c r="G189" s="1007" t="str">
        <f>+VLOOKUP(Data_Validation!$A189,BV_Data_An_Cour!$L:$Q,6,0)</f>
        <v>3-Passifs</v>
      </c>
      <c r="H189" s="165"/>
    </row>
    <row r="190" spans="1:8" ht="15" customHeight="1">
      <c r="A190" s="168" t="s">
        <v>2583</v>
      </c>
      <c r="B190" s="169" t="s">
        <v>2582</v>
      </c>
      <c r="C190" s="955" t="s">
        <v>1642</v>
      </c>
      <c r="D190" s="955" t="s">
        <v>38</v>
      </c>
      <c r="E190" s="1007" t="s">
        <v>1917</v>
      </c>
      <c r="F190" s="1008"/>
      <c r="G190" s="1007" t="str">
        <f>+VLOOKUP(Data_Validation!$A190,BV_Data_An_Cour!$L:$Q,6,0)</f>
        <v>3-Passifs</v>
      </c>
      <c r="H190" s="165"/>
    </row>
    <row r="191" spans="1:8" ht="15" customHeight="1">
      <c r="A191" s="168" t="s">
        <v>2185</v>
      </c>
      <c r="B191" s="169" t="s">
        <v>536</v>
      </c>
      <c r="C191" s="955" t="s">
        <v>1642</v>
      </c>
      <c r="D191" s="955" t="s">
        <v>38</v>
      </c>
      <c r="E191" s="1007" t="s">
        <v>1917</v>
      </c>
      <c r="F191" s="1008"/>
      <c r="G191" s="1007" t="str">
        <f>+VLOOKUP(Data_Validation!$A191,BV_Data_An_Cour!$L:$Q,6,0)</f>
        <v>3-Passifs</v>
      </c>
      <c r="H191" s="165"/>
    </row>
    <row r="192" spans="1:8" ht="15" customHeight="1">
      <c r="A192" s="168" t="s">
        <v>2194</v>
      </c>
      <c r="B192" s="169" t="s">
        <v>2193</v>
      </c>
      <c r="C192" s="955" t="s">
        <v>1642</v>
      </c>
      <c r="D192" s="955" t="s">
        <v>22</v>
      </c>
      <c r="E192" s="1007" t="s">
        <v>1917</v>
      </c>
      <c r="F192" s="1008"/>
      <c r="G192" s="1007" t="str">
        <f>+VLOOKUP(Data_Validation!$A192,BV_Data_An_Cour!$L:$Q,6,0)</f>
        <v>3-Passifs</v>
      </c>
      <c r="H192" s="165"/>
    </row>
    <row r="193" spans="1:8" ht="15" customHeight="1">
      <c r="A193" s="168" t="s">
        <v>2601</v>
      </c>
      <c r="B193" s="169" t="s">
        <v>2600</v>
      </c>
      <c r="C193" s="955" t="s">
        <v>1642</v>
      </c>
      <c r="D193" s="955" t="s">
        <v>36</v>
      </c>
      <c r="E193" s="1007" t="s">
        <v>1917</v>
      </c>
      <c r="F193" s="1008"/>
      <c r="G193" s="1007" t="str">
        <f>+VLOOKUP(Data_Validation!$A193,BV_Data_An_Cour!$L:$Q,6,0)</f>
        <v>3-Passifs</v>
      </c>
      <c r="H193" s="165"/>
    </row>
    <row r="194" spans="1:8" s="570" customFormat="1" ht="15" customHeight="1">
      <c r="A194" s="1117" t="s">
        <v>2958</v>
      </c>
      <c r="B194" s="169" t="s">
        <v>2956</v>
      </c>
      <c r="C194" s="955" t="s">
        <v>1642</v>
      </c>
      <c r="D194" s="955" t="s">
        <v>36</v>
      </c>
      <c r="E194" s="1007" t="s">
        <v>1917</v>
      </c>
      <c r="F194" s="1008"/>
      <c r="G194" s="1007" t="s">
        <v>282</v>
      </c>
      <c r="H194" s="165"/>
    </row>
    <row r="195" spans="1:8" ht="15" customHeight="1">
      <c r="A195" s="168" t="s">
        <v>2059</v>
      </c>
      <c r="B195" s="169" t="s">
        <v>2058</v>
      </c>
      <c r="C195" s="955" t="s">
        <v>1642</v>
      </c>
      <c r="D195" s="955" t="s">
        <v>36</v>
      </c>
      <c r="E195" s="1007" t="s">
        <v>1917</v>
      </c>
      <c r="F195" s="1008"/>
      <c r="G195" s="1007" t="str">
        <f>+VLOOKUP(Data_Validation!$A195,BV_Data_An_Cour!$L:$Q,6,0)</f>
        <v>3-Passifs</v>
      </c>
      <c r="H195" s="165"/>
    </row>
    <row r="196" spans="1:8" ht="15" customHeight="1">
      <c r="A196" s="168" t="s">
        <v>2099</v>
      </c>
      <c r="B196" s="169" t="s">
        <v>2098</v>
      </c>
      <c r="C196" s="955" t="s">
        <v>1642</v>
      </c>
      <c r="D196" s="955" t="s">
        <v>36</v>
      </c>
      <c r="E196" s="1007" t="s">
        <v>1917</v>
      </c>
      <c r="F196" s="1008"/>
      <c r="G196" s="1007" t="str">
        <f>+VLOOKUP(Data_Validation!$A196,BV_Data_An_Cour!$L:$Q,6,0)</f>
        <v>3-Passifs</v>
      </c>
      <c r="H196" s="165"/>
    </row>
    <row r="197" spans="1:8" ht="15" customHeight="1">
      <c r="A197" s="168" t="s">
        <v>2422</v>
      </c>
      <c r="B197" s="169" t="s">
        <v>2421</v>
      </c>
      <c r="C197" s="955" t="s">
        <v>1642</v>
      </c>
      <c r="D197" s="955" t="s">
        <v>36</v>
      </c>
      <c r="E197" s="1007" t="s">
        <v>1917</v>
      </c>
      <c r="F197" s="1008"/>
      <c r="G197" s="1007" t="e">
        <f>+VLOOKUP(Data_Validation!$A197,BV_Data_An_Cour!$L:$Q,6,0)</f>
        <v>#N/A</v>
      </c>
      <c r="H197" s="165"/>
    </row>
    <row r="198" spans="1:8" ht="15" customHeight="1">
      <c r="A198" s="168" t="s">
        <v>2095</v>
      </c>
      <c r="B198" s="169" t="s">
        <v>2094</v>
      </c>
      <c r="C198" s="955" t="s">
        <v>1642</v>
      </c>
      <c r="D198" s="955" t="s">
        <v>36</v>
      </c>
      <c r="E198" s="1007" t="s">
        <v>1917</v>
      </c>
      <c r="F198" s="1008"/>
      <c r="G198" s="1007" t="str">
        <f>+VLOOKUP(Data_Validation!$A198,BV_Data_An_Cour!$L:$Q,6,0)</f>
        <v>3-Passifs</v>
      </c>
      <c r="H198" s="165"/>
    </row>
    <row r="199" spans="1:8" ht="15" customHeight="1">
      <c r="A199" s="168" t="s">
        <v>2189</v>
      </c>
      <c r="B199" s="169" t="s">
        <v>2188</v>
      </c>
      <c r="C199" s="955" t="s">
        <v>1642</v>
      </c>
      <c r="D199" s="955" t="s">
        <v>36</v>
      </c>
      <c r="E199" s="1007" t="s">
        <v>1917</v>
      </c>
      <c r="F199" s="1008"/>
      <c r="G199" s="1007" t="str">
        <f>+VLOOKUP(Data_Validation!$A199,BV_Data_An_Cour!$L:$Q,6,0)</f>
        <v>3-Passifs</v>
      </c>
      <c r="H199" s="165"/>
    </row>
    <row r="200" spans="1:8" ht="15" customHeight="1">
      <c r="A200" s="168" t="s">
        <v>2690</v>
      </c>
      <c r="B200" s="169" t="s">
        <v>2689</v>
      </c>
      <c r="C200" s="955" t="s">
        <v>1642</v>
      </c>
      <c r="D200" s="955" t="s">
        <v>54</v>
      </c>
      <c r="E200" s="1007" t="s">
        <v>1917</v>
      </c>
      <c r="F200" s="1008"/>
      <c r="G200" s="1007" t="str">
        <f>+VLOOKUP(Data_Validation!$A200,BV_Data_An_Cour!$L:$Q,6,0)</f>
        <v>3-Passifs</v>
      </c>
      <c r="H200" s="165"/>
    </row>
    <row r="201" spans="1:8" ht="15" customHeight="1">
      <c r="A201" s="168" t="s">
        <v>2190</v>
      </c>
      <c r="B201" s="169" t="s">
        <v>827</v>
      </c>
      <c r="C201" s="955" t="s">
        <v>1642</v>
      </c>
      <c r="D201" s="955" t="s">
        <v>40</v>
      </c>
      <c r="E201" s="1007" t="s">
        <v>1917</v>
      </c>
      <c r="F201" s="1008"/>
      <c r="G201" s="1007" t="str">
        <f>+VLOOKUP(Data_Validation!$A201,BV_Data_An_Cour!$L:$Q,6,0)</f>
        <v>3-Passifs</v>
      </c>
      <c r="H201" s="165"/>
    </row>
    <row r="202" spans="1:8" ht="15" customHeight="1">
      <c r="A202" s="168" t="s">
        <v>2424</v>
      </c>
      <c r="B202" s="169" t="s">
        <v>2423</v>
      </c>
      <c r="C202" s="955" t="s">
        <v>1642</v>
      </c>
      <c r="D202" s="955" t="s">
        <v>67</v>
      </c>
      <c r="E202" s="1007" t="s">
        <v>1917</v>
      </c>
      <c r="F202" s="1008"/>
      <c r="G202" s="1007" t="str">
        <f>+VLOOKUP(Data_Validation!$A202,BV_Data_An_Cour!$L:$Q,6,0)</f>
        <v>4-Valeur nette</v>
      </c>
    </row>
    <row r="203" spans="1:8" ht="15" customHeight="1">
      <c r="A203" s="168" t="s">
        <v>2426</v>
      </c>
      <c r="B203" s="169" t="s">
        <v>2425</v>
      </c>
      <c r="C203" s="955" t="s">
        <v>1642</v>
      </c>
      <c r="D203" s="955" t="s">
        <v>68</v>
      </c>
      <c r="E203" s="1007" t="s">
        <v>1917</v>
      </c>
      <c r="F203" s="1008"/>
      <c r="G203" s="1007" t="str">
        <f>+VLOOKUP(Data_Validation!$A203,BV_Data_An_Cour!$L:$Q,6,0)</f>
        <v>4-Valeur nette</v>
      </c>
      <c r="H203" s="165"/>
    </row>
    <row r="204" spans="1:8" ht="15" customHeight="1">
      <c r="A204" s="168" t="s">
        <v>2428</v>
      </c>
      <c r="B204" s="169" t="s">
        <v>2427</v>
      </c>
      <c r="C204" s="955" t="s">
        <v>1642</v>
      </c>
      <c r="D204" s="955" t="s">
        <v>67</v>
      </c>
      <c r="E204" s="1007"/>
      <c r="F204" s="1008"/>
      <c r="G204" s="1007" t="str">
        <f>+VLOOKUP(Data_Validation!$A204,BV_Data_An_Cour!$L:$Q,6,0)</f>
        <v>4-Valeur nette</v>
      </c>
      <c r="H204" s="165"/>
    </row>
    <row r="205" spans="1:8" ht="15" customHeight="1">
      <c r="A205" s="168" t="s">
        <v>2430</v>
      </c>
      <c r="B205" s="169" t="s">
        <v>2429</v>
      </c>
      <c r="C205" s="955" t="s">
        <v>1642</v>
      </c>
      <c r="D205" s="955" t="s">
        <v>69</v>
      </c>
      <c r="E205" s="1007" t="s">
        <v>1917</v>
      </c>
      <c r="F205" s="1008"/>
      <c r="G205" s="1007" t="str">
        <f>+VLOOKUP(Data_Validation!$A205,BV_Data_An_Cour!$L:$Q,6,0)</f>
        <v>4-Valeur nette</v>
      </c>
      <c r="H205" s="165"/>
    </row>
    <row r="206" spans="1:8" ht="15" customHeight="1">
      <c r="A206" s="168" t="s">
        <v>2026</v>
      </c>
      <c r="B206" s="169" t="s">
        <v>2025</v>
      </c>
      <c r="C206" s="955" t="s">
        <v>75</v>
      </c>
      <c r="D206" s="955" t="s">
        <v>96</v>
      </c>
      <c r="E206" s="1007" t="s">
        <v>1917</v>
      </c>
      <c r="F206" s="1008" t="s">
        <v>1920</v>
      </c>
      <c r="G206" s="1007" t="str">
        <f>+VLOOKUP(Data_Validation!$A206,BV_Data_An_Cour!$L:$Q,6,0)</f>
        <v>5-Ventes</v>
      </c>
      <c r="H206" s="165"/>
    </row>
    <row r="207" spans="1:8" s="570" customFormat="1" ht="15" customHeight="1">
      <c r="A207" s="1117" t="s">
        <v>2938</v>
      </c>
      <c r="B207" s="169" t="s">
        <v>2937</v>
      </c>
      <c r="C207" s="955" t="s">
        <v>75</v>
      </c>
      <c r="D207" s="955" t="s">
        <v>96</v>
      </c>
      <c r="E207" s="1007" t="s">
        <v>1917</v>
      </c>
      <c r="F207" s="1008" t="s">
        <v>1920</v>
      </c>
      <c r="G207" s="1007" t="s">
        <v>285</v>
      </c>
      <c r="H207" s="165"/>
    </row>
    <row r="208" spans="1:8" ht="15" customHeight="1">
      <c r="A208" s="168" t="s">
        <v>2432</v>
      </c>
      <c r="B208" s="169" t="s">
        <v>2431</v>
      </c>
      <c r="C208" s="955" t="s">
        <v>75</v>
      </c>
      <c r="D208" s="955" t="s">
        <v>89</v>
      </c>
      <c r="E208" s="1007" t="s">
        <v>1917</v>
      </c>
      <c r="F208" s="1008" t="s">
        <v>1920</v>
      </c>
      <c r="G208" s="1007" t="e">
        <f>+VLOOKUP(Data_Validation!$A208,BV_Data_An_Cour!$L:$Q,6,0)</f>
        <v>#N/A</v>
      </c>
      <c r="H208" s="165"/>
    </row>
    <row r="209" spans="1:8" ht="15" customHeight="1">
      <c r="A209" s="168" t="s">
        <v>2434</v>
      </c>
      <c r="B209" s="169" t="s">
        <v>2433</v>
      </c>
      <c r="C209" s="955" t="s">
        <v>75</v>
      </c>
      <c r="D209" s="955" t="s">
        <v>89</v>
      </c>
      <c r="E209" s="1007" t="s">
        <v>1917</v>
      </c>
      <c r="F209" s="1008" t="s">
        <v>1920</v>
      </c>
      <c r="G209" s="1007" t="str">
        <f>+VLOOKUP(Data_Validation!$A209,BV_Data_An_Cour!$L:$Q,6,0)</f>
        <v>5-Ventes</v>
      </c>
      <c r="H209" s="165"/>
    </row>
    <row r="210" spans="1:8" ht="15" customHeight="1">
      <c r="A210" s="168" t="s">
        <v>2019</v>
      </c>
      <c r="B210" s="169" t="s">
        <v>2018</v>
      </c>
      <c r="C210" s="955" t="s">
        <v>75</v>
      </c>
      <c r="D210" s="955" t="s">
        <v>89</v>
      </c>
      <c r="E210" s="1007" t="s">
        <v>1917</v>
      </c>
      <c r="F210" s="1008" t="s">
        <v>1920</v>
      </c>
      <c r="G210" s="1007" t="str">
        <f>+VLOOKUP(Data_Validation!$A210,BV_Data_An_Cour!$L:$Q,6,0)</f>
        <v>5-Ventes</v>
      </c>
      <c r="H210" s="165"/>
    </row>
    <row r="211" spans="1:8" ht="15" customHeight="1">
      <c r="A211" s="168" t="s">
        <v>2436</v>
      </c>
      <c r="B211" s="169" t="s">
        <v>2435</v>
      </c>
      <c r="C211" s="955" t="s">
        <v>75</v>
      </c>
      <c r="D211" s="955" t="s">
        <v>89</v>
      </c>
      <c r="E211" s="1007" t="s">
        <v>1917</v>
      </c>
      <c r="F211" s="1008" t="s">
        <v>1920</v>
      </c>
      <c r="G211" s="1007" t="e">
        <f>+VLOOKUP(Data_Validation!$A211,BV_Data_An_Cour!$L:$Q,6,0)</f>
        <v>#N/A</v>
      </c>
      <c r="H211" s="165"/>
    </row>
    <row r="212" spans="1:8" ht="15" customHeight="1">
      <c r="A212" s="168" t="s">
        <v>2014</v>
      </c>
      <c r="B212" s="169" t="s">
        <v>2013</v>
      </c>
      <c r="C212" s="955" t="s">
        <v>75</v>
      </c>
      <c r="D212" s="955" t="s">
        <v>89</v>
      </c>
      <c r="E212" s="1007" t="s">
        <v>1917</v>
      </c>
      <c r="F212" s="1008" t="s">
        <v>1920</v>
      </c>
      <c r="G212" s="1007" t="str">
        <f>+VLOOKUP(Data_Validation!$A212,BV_Data_An_Cour!$L:$Q,6,0)</f>
        <v>5-Ventes</v>
      </c>
      <c r="H212" s="165"/>
    </row>
    <row r="213" spans="1:8" ht="15" customHeight="1">
      <c r="A213" s="168" t="s">
        <v>2438</v>
      </c>
      <c r="B213" s="169" t="s">
        <v>2437</v>
      </c>
      <c r="C213" s="955" t="s">
        <v>75</v>
      </c>
      <c r="D213" s="955" t="s">
        <v>89</v>
      </c>
      <c r="E213" s="1007" t="s">
        <v>1917</v>
      </c>
      <c r="F213" s="1008" t="s">
        <v>1920</v>
      </c>
      <c r="G213" s="1007" t="e">
        <f>+VLOOKUP(Data_Validation!$A213,BV_Data_An_Cour!$L:$Q,6,0)</f>
        <v>#N/A</v>
      </c>
      <c r="H213" s="165"/>
    </row>
    <row r="214" spans="1:8" ht="15" customHeight="1">
      <c r="A214" s="168" t="s">
        <v>2440</v>
      </c>
      <c r="B214" s="169" t="s">
        <v>2439</v>
      </c>
      <c r="C214" s="955" t="s">
        <v>75</v>
      </c>
      <c r="D214" s="955" t="s">
        <v>89</v>
      </c>
      <c r="E214" s="1007" t="s">
        <v>1917</v>
      </c>
      <c r="F214" s="1008" t="s">
        <v>1920</v>
      </c>
      <c r="G214" s="1007" t="e">
        <f>+VLOOKUP(Data_Validation!$A214,BV_Data_An_Cour!$L:$Q,6,0)</f>
        <v>#N/A</v>
      </c>
      <c r="H214" s="165"/>
    </row>
    <row r="215" spans="1:8" s="570" customFormat="1" ht="15" customHeight="1">
      <c r="A215" s="169" t="s">
        <v>2944</v>
      </c>
      <c r="B215" s="169" t="s">
        <v>2950</v>
      </c>
      <c r="C215" s="955" t="s">
        <v>75</v>
      </c>
      <c r="D215" s="955" t="s">
        <v>90</v>
      </c>
      <c r="E215" s="1007" t="s">
        <v>1917</v>
      </c>
      <c r="F215" s="1008" t="s">
        <v>1920</v>
      </c>
      <c r="G215" s="1007" t="str">
        <f>+VLOOKUP(Data_Validation!$A215,BV_Data_An_Cour!$L:$Q,6,0)</f>
        <v>5-Ventes</v>
      </c>
      <c r="H215" s="165"/>
    </row>
    <row r="216" spans="1:8" ht="15" customHeight="1">
      <c r="A216" s="169" t="s">
        <v>2003</v>
      </c>
      <c r="B216" s="169" t="s">
        <v>2002</v>
      </c>
      <c r="C216" s="955" t="s">
        <v>75</v>
      </c>
      <c r="D216" s="955" t="s">
        <v>90</v>
      </c>
      <c r="E216" s="1007" t="s">
        <v>1917</v>
      </c>
      <c r="F216" s="1008" t="s">
        <v>1920</v>
      </c>
      <c r="G216" s="1007" t="str">
        <f>+VLOOKUP(Data_Validation!$A216,BV_Data_An_Cour!$L:$Q,6,0)</f>
        <v>5-Ventes</v>
      </c>
      <c r="H216" s="165"/>
    </row>
    <row r="217" spans="1:8" ht="15" customHeight="1">
      <c r="A217" s="168" t="s">
        <v>2031</v>
      </c>
      <c r="B217" s="169" t="s">
        <v>2030</v>
      </c>
      <c r="C217" s="955" t="s">
        <v>75</v>
      </c>
      <c r="D217" s="955" t="s">
        <v>89</v>
      </c>
      <c r="E217" s="1007" t="s">
        <v>1917</v>
      </c>
      <c r="F217" s="1008" t="s">
        <v>1920</v>
      </c>
      <c r="G217" s="1007" t="str">
        <f>+VLOOKUP(Data_Validation!$A217,BV_Data_An_Cour!$L:$Q,6,0)</f>
        <v>5-Ventes</v>
      </c>
      <c r="H217" s="165"/>
    </row>
    <row r="218" spans="1:8" ht="15" customHeight="1">
      <c r="A218" s="168" t="s">
        <v>1999</v>
      </c>
      <c r="B218" s="169" t="s">
        <v>1998</v>
      </c>
      <c r="C218" s="955" t="s">
        <v>75</v>
      </c>
      <c r="D218" s="955" t="s">
        <v>90</v>
      </c>
      <c r="E218" s="1007" t="s">
        <v>1917</v>
      </c>
      <c r="F218" s="1008" t="s">
        <v>1920</v>
      </c>
      <c r="G218" s="1007" t="str">
        <f>+VLOOKUP(Data_Validation!$A218,BV_Data_An_Cour!$L:$Q,6,0)</f>
        <v>5-Ventes</v>
      </c>
      <c r="H218" s="165"/>
    </row>
    <row r="219" spans="1:8" ht="15" customHeight="1">
      <c r="A219" s="168" t="s">
        <v>2029</v>
      </c>
      <c r="B219" s="169" t="s">
        <v>2028</v>
      </c>
      <c r="C219" s="955" t="s">
        <v>75</v>
      </c>
      <c r="D219" s="955" t="s">
        <v>89</v>
      </c>
      <c r="E219" s="1007" t="s">
        <v>1917</v>
      </c>
      <c r="F219" s="1008" t="s">
        <v>1920</v>
      </c>
      <c r="G219" s="1007" t="str">
        <f>+VLOOKUP(Data_Validation!$A219,BV_Data_An_Cour!$L:$Q,6,0)</f>
        <v>5-Ventes</v>
      </c>
    </row>
    <row r="220" spans="1:8" ht="15" customHeight="1">
      <c r="A220" s="168" t="s">
        <v>2442</v>
      </c>
      <c r="B220" s="169" t="s">
        <v>2441</v>
      </c>
      <c r="C220" s="955" t="s">
        <v>75</v>
      </c>
      <c r="D220" s="955" t="s">
        <v>95</v>
      </c>
      <c r="E220" s="1007" t="s">
        <v>1917</v>
      </c>
      <c r="F220" s="1008" t="s">
        <v>1920</v>
      </c>
      <c r="G220" s="1007" t="str">
        <f>+VLOOKUP(Data_Validation!$A220,BV_Data_An_Cour!$L:$Q,6,0)</f>
        <v>5-Ventes</v>
      </c>
      <c r="H220" s="165"/>
    </row>
    <row r="221" spans="1:8" ht="15" customHeight="1">
      <c r="A221" s="168" t="s">
        <v>2005</v>
      </c>
      <c r="B221" s="169" t="s">
        <v>2004</v>
      </c>
      <c r="C221" s="955" t="s">
        <v>75</v>
      </c>
      <c r="D221" s="955" t="s">
        <v>94</v>
      </c>
      <c r="E221" s="1007" t="s">
        <v>1917</v>
      </c>
      <c r="F221" s="1008" t="s">
        <v>1920</v>
      </c>
      <c r="G221" s="1007" t="str">
        <f>+VLOOKUP(Data_Validation!$A221,BV_Data_An_Cour!$L:$Q,6,0)</f>
        <v>5-Ventes</v>
      </c>
      <c r="H221" s="165"/>
    </row>
    <row r="222" spans="1:8" ht="15" customHeight="1">
      <c r="A222" s="168" t="s">
        <v>2001</v>
      </c>
      <c r="B222" s="169" t="s">
        <v>2000</v>
      </c>
      <c r="C222" s="955" t="s">
        <v>144</v>
      </c>
      <c r="D222" s="955" t="s">
        <v>146</v>
      </c>
      <c r="E222" s="1007" t="s">
        <v>1917</v>
      </c>
      <c r="F222" s="1008" t="s">
        <v>1920</v>
      </c>
      <c r="G222" s="1007" t="str">
        <f>+VLOOKUP(Data_Validation!$A222,BV_Data_An_Cour!$L:$Q,6,0)</f>
        <v>5-Ventes</v>
      </c>
      <c r="H222" s="165"/>
    </row>
    <row r="223" spans="1:8" ht="15" customHeight="1">
      <c r="A223" s="168" t="s">
        <v>2444</v>
      </c>
      <c r="B223" s="169" t="s">
        <v>2443</v>
      </c>
      <c r="C223" s="955" t="s">
        <v>144</v>
      </c>
      <c r="D223" s="955" t="s">
        <v>147</v>
      </c>
      <c r="E223" s="1007" t="s">
        <v>1917</v>
      </c>
      <c r="F223" s="1008" t="s">
        <v>1920</v>
      </c>
      <c r="G223" s="1007" t="e">
        <f>+VLOOKUP(Data_Validation!$A223,BV_Data_An_Cour!$L:$Q,6,0)</f>
        <v>#N/A</v>
      </c>
      <c r="H223" s="165"/>
    </row>
    <row r="224" spans="1:8" ht="15" customHeight="1">
      <c r="A224" s="168" t="s">
        <v>2039</v>
      </c>
      <c r="B224" s="169" t="s">
        <v>2038</v>
      </c>
      <c r="C224" s="955" t="s">
        <v>144</v>
      </c>
      <c r="D224" s="955" t="s">
        <v>147</v>
      </c>
      <c r="E224" s="1007" t="s">
        <v>1917</v>
      </c>
      <c r="F224" s="1008" t="s">
        <v>1920</v>
      </c>
      <c r="G224" s="1007" t="str">
        <f>+VLOOKUP(Data_Validation!$A224,BV_Data_An_Cour!$L:$Q,6,0)</f>
        <v>5-Ventes</v>
      </c>
      <c r="H224" s="165"/>
    </row>
    <row r="225" spans="1:8" ht="15" customHeight="1">
      <c r="A225" s="168" t="s">
        <v>2007</v>
      </c>
      <c r="B225" s="169" t="s">
        <v>2006</v>
      </c>
      <c r="C225" s="955" t="s">
        <v>144</v>
      </c>
      <c r="D225" s="955" t="s">
        <v>150</v>
      </c>
      <c r="E225" s="1007" t="s">
        <v>1917</v>
      </c>
      <c r="F225" s="1008" t="s">
        <v>1920</v>
      </c>
      <c r="G225" s="1007" t="str">
        <f>+VLOOKUP(Data_Validation!$A225,BV_Data_An_Cour!$L:$Q,6,0)</f>
        <v>5-Ventes</v>
      </c>
      <c r="H225" s="165"/>
    </row>
    <row r="226" spans="1:8" ht="15" customHeight="1">
      <c r="A226" s="168" t="s">
        <v>2012</v>
      </c>
      <c r="B226" s="169" t="s">
        <v>2011</v>
      </c>
      <c r="C226" s="955" t="s">
        <v>155</v>
      </c>
      <c r="D226" s="955" t="s">
        <v>159</v>
      </c>
      <c r="E226" s="1007" t="s">
        <v>1917</v>
      </c>
      <c r="F226" s="1008" t="s">
        <v>1920</v>
      </c>
      <c r="G226" s="1007" t="str">
        <f>+VLOOKUP(Data_Validation!$A226,BV_Data_An_Cour!$L:$Q,6,0)</f>
        <v>5-Ventes</v>
      </c>
      <c r="H226" s="165"/>
    </row>
    <row r="227" spans="1:8" ht="15" customHeight="1">
      <c r="A227" s="168" t="s">
        <v>2192</v>
      </c>
      <c r="B227" s="169" t="s">
        <v>2191</v>
      </c>
      <c r="C227" s="955" t="s">
        <v>155</v>
      </c>
      <c r="D227" s="955" t="s">
        <v>163</v>
      </c>
      <c r="E227" s="1007" t="s">
        <v>1917</v>
      </c>
      <c r="F227" s="1008" t="s">
        <v>1920</v>
      </c>
      <c r="G227" s="1007" t="str">
        <f>+VLOOKUP(Data_Validation!$A227,BV_Data_An_Cour!$L:$Q,6,0)</f>
        <v>5-Ventes</v>
      </c>
      <c r="H227" s="165"/>
    </row>
    <row r="228" spans="1:8" ht="15" customHeight="1">
      <c r="A228" s="168" t="s">
        <v>2042</v>
      </c>
      <c r="B228" s="169" t="s">
        <v>2041</v>
      </c>
      <c r="C228" s="955" t="s">
        <v>155</v>
      </c>
      <c r="D228" s="955" t="s">
        <v>161</v>
      </c>
      <c r="E228" s="1007" t="s">
        <v>1917</v>
      </c>
      <c r="F228" s="1008" t="s">
        <v>1920</v>
      </c>
      <c r="G228" s="1007" t="str">
        <f>+VLOOKUP(Data_Validation!$A228,BV_Data_An_Cour!$L:$Q,6,0)</f>
        <v>5-Ventes</v>
      </c>
      <c r="H228" s="165"/>
    </row>
    <row r="229" spans="1:8" ht="15" customHeight="1">
      <c r="A229" s="169" t="s">
        <v>2052</v>
      </c>
      <c r="B229" s="169" t="s">
        <v>2051</v>
      </c>
      <c r="C229" s="955" t="s">
        <v>155</v>
      </c>
      <c r="D229" s="955" t="s">
        <v>162</v>
      </c>
      <c r="E229" s="1007" t="s">
        <v>1917</v>
      </c>
      <c r="F229" s="1008" t="s">
        <v>1920</v>
      </c>
      <c r="G229" s="1007" t="str">
        <f>+VLOOKUP(Data_Validation!$A229,BV_Data_An_Cour!$L:$Q,6,0)</f>
        <v>5-Ventes</v>
      </c>
      <c r="H229" s="165"/>
    </row>
    <row r="230" spans="1:8" ht="15" customHeight="1">
      <c r="A230" s="166" t="s">
        <v>2629</v>
      </c>
      <c r="B230" s="166" t="s">
        <v>2628</v>
      </c>
      <c r="C230" s="955" t="s">
        <v>155</v>
      </c>
      <c r="D230" s="955" t="s">
        <v>159</v>
      </c>
      <c r="E230" s="1007" t="s">
        <v>1917</v>
      </c>
      <c r="F230" s="1008" t="s">
        <v>1920</v>
      </c>
      <c r="G230" s="1007" t="e">
        <f>+VLOOKUP(Data_Validation!$A230,BV_Data_An_Cour!$L:$Q,6,0)</f>
        <v>#N/A</v>
      </c>
      <c r="H230" s="165"/>
    </row>
    <row r="231" spans="1:8" ht="15" customHeight="1">
      <c r="A231" s="168" t="s">
        <v>2072</v>
      </c>
      <c r="B231" s="169" t="s">
        <v>2071</v>
      </c>
      <c r="C231" s="955" t="s">
        <v>175</v>
      </c>
      <c r="D231" s="955" t="s">
        <v>187</v>
      </c>
      <c r="E231" s="1007" t="s">
        <v>1917</v>
      </c>
      <c r="F231" s="1008" t="s">
        <v>1920</v>
      </c>
      <c r="G231" s="1007" t="str">
        <f>+VLOOKUP(Data_Validation!$A231,BV_Data_An_Cour!$L:$Q,6,0)</f>
        <v>5-Ventes</v>
      </c>
      <c r="H231" s="165"/>
    </row>
    <row r="232" spans="1:8" ht="15" customHeight="1">
      <c r="A232" s="168" t="s">
        <v>2145</v>
      </c>
      <c r="B232" s="169" t="s">
        <v>2144</v>
      </c>
      <c r="C232" s="955" t="s">
        <v>155</v>
      </c>
      <c r="D232" s="955" t="s">
        <v>167</v>
      </c>
      <c r="E232" s="1007" t="s">
        <v>1917</v>
      </c>
      <c r="F232" s="1008" t="s">
        <v>1920</v>
      </c>
      <c r="G232" s="1007" t="str">
        <f>+VLOOKUP(Data_Validation!$A232,BV_Data_An_Cour!$L:$Q,6,0)</f>
        <v>5-Ventes</v>
      </c>
      <c r="H232" s="165"/>
    </row>
    <row r="233" spans="1:8" ht="15" customHeight="1">
      <c r="A233" s="168" t="s">
        <v>2168</v>
      </c>
      <c r="B233" s="169" t="s">
        <v>2167</v>
      </c>
      <c r="C233" s="955" t="s">
        <v>155</v>
      </c>
      <c r="D233" s="955" t="s">
        <v>167</v>
      </c>
      <c r="E233" s="1007" t="s">
        <v>1917</v>
      </c>
      <c r="F233" s="1008" t="s">
        <v>1920</v>
      </c>
      <c r="G233" s="1007" t="str">
        <f>+VLOOKUP(Data_Validation!$A233,BV_Data_An_Cour!$L:$Q,6,0)</f>
        <v>5-Ventes</v>
      </c>
      <c r="H233" s="165"/>
    </row>
    <row r="234" spans="1:8" ht="15" customHeight="1">
      <c r="A234" s="168" t="s">
        <v>2087</v>
      </c>
      <c r="B234" s="169" t="s">
        <v>2086</v>
      </c>
      <c r="C234" s="955" t="s">
        <v>155</v>
      </c>
      <c r="D234" s="955" t="s">
        <v>167</v>
      </c>
      <c r="E234" s="1007" t="s">
        <v>1917</v>
      </c>
      <c r="F234" s="1008" t="s">
        <v>1920</v>
      </c>
      <c r="G234" s="1007" t="str">
        <f>+VLOOKUP(Data_Validation!$A234,BV_Data_An_Cour!$L:$Q,6,0)</f>
        <v>5-Ventes</v>
      </c>
      <c r="H234" s="165"/>
    </row>
    <row r="235" spans="1:8" ht="15" customHeight="1">
      <c r="A235" s="168" t="s">
        <v>2070</v>
      </c>
      <c r="B235" s="169" t="s">
        <v>2069</v>
      </c>
      <c r="C235" s="955" t="s">
        <v>171</v>
      </c>
      <c r="D235" s="955" t="s">
        <v>172</v>
      </c>
      <c r="E235" s="1007" t="s">
        <v>1917</v>
      </c>
      <c r="F235" s="1008" t="s">
        <v>1920</v>
      </c>
      <c r="G235" s="1007" t="str">
        <f>+VLOOKUP(Data_Validation!$A235,BV_Data_An_Cour!$L:$Q,6,0)</f>
        <v>5-Ventes</v>
      </c>
      <c r="H235" s="165"/>
    </row>
    <row r="236" spans="1:8" ht="15" customHeight="1">
      <c r="A236" s="168" t="s">
        <v>2068</v>
      </c>
      <c r="B236" s="169" t="s">
        <v>2067</v>
      </c>
      <c r="C236" s="955" t="s">
        <v>171</v>
      </c>
      <c r="D236" s="955" t="s">
        <v>172</v>
      </c>
      <c r="E236" s="1007" t="s">
        <v>1917</v>
      </c>
      <c r="F236" s="1008" t="s">
        <v>1920</v>
      </c>
      <c r="G236" s="1007" t="str">
        <f>+VLOOKUP(Data_Validation!$A236,BV_Data_An_Cour!$L:$Q,6,0)</f>
        <v>5-Ventes</v>
      </c>
      <c r="H236" s="165"/>
    </row>
    <row r="237" spans="1:8" ht="15" customHeight="1">
      <c r="A237" s="168" t="s">
        <v>2101</v>
      </c>
      <c r="B237" s="169" t="s">
        <v>2100</v>
      </c>
      <c r="C237" s="955" t="s">
        <v>171</v>
      </c>
      <c r="D237" s="955" t="s">
        <v>172</v>
      </c>
      <c r="E237" s="1007" t="s">
        <v>1917</v>
      </c>
      <c r="F237" s="1008" t="s">
        <v>1920</v>
      </c>
      <c r="G237" s="1007" t="str">
        <f>+VLOOKUP(Data_Validation!$A237,BV_Data_An_Cour!$L:$Q,6,0)</f>
        <v>5-Ventes</v>
      </c>
      <c r="H237" s="165"/>
    </row>
    <row r="238" spans="1:8" ht="15" customHeight="1">
      <c r="A238" s="168" t="s">
        <v>2024</v>
      </c>
      <c r="B238" s="169" t="s">
        <v>2023</v>
      </c>
      <c r="C238" s="955" t="s">
        <v>175</v>
      </c>
      <c r="D238" s="955" t="s">
        <v>177</v>
      </c>
      <c r="E238" s="1007" t="s">
        <v>1917</v>
      </c>
      <c r="F238" s="1008" t="s">
        <v>1920</v>
      </c>
      <c r="G238" s="1007" t="str">
        <f>+VLOOKUP(Data_Validation!$A238,BV_Data_An_Cour!$L:$Q,6,0)</f>
        <v>5-Ventes</v>
      </c>
      <c r="H238" s="165"/>
    </row>
    <row r="239" spans="1:8" ht="15" customHeight="1">
      <c r="A239" s="168" t="s">
        <v>2151</v>
      </c>
      <c r="B239" s="169" t="s">
        <v>2150</v>
      </c>
      <c r="C239" s="955" t="s">
        <v>155</v>
      </c>
      <c r="D239" s="955" t="s">
        <v>159</v>
      </c>
      <c r="E239" s="1007" t="s">
        <v>1917</v>
      </c>
      <c r="F239" s="1008" t="s">
        <v>1920</v>
      </c>
      <c r="G239" s="1007" t="str">
        <f>+VLOOKUP(Data_Validation!$A239,BV_Data_An_Cour!$L:$Q,6,0)</f>
        <v>5-Ventes</v>
      </c>
      <c r="H239" s="165"/>
    </row>
    <row r="240" spans="1:8" ht="15" customHeight="1">
      <c r="A240" s="168" t="s">
        <v>2044</v>
      </c>
      <c r="B240" s="169" t="s">
        <v>2043</v>
      </c>
      <c r="C240" s="955" t="s">
        <v>175</v>
      </c>
      <c r="D240" s="955" t="s">
        <v>179</v>
      </c>
      <c r="E240" s="1007" t="s">
        <v>1917</v>
      </c>
      <c r="F240" s="1008" t="s">
        <v>1920</v>
      </c>
      <c r="G240" s="1007" t="str">
        <f>+VLOOKUP(Data_Validation!$A240,BV_Data_An_Cour!$L:$Q,6,0)</f>
        <v>5-Ventes</v>
      </c>
      <c r="H240" s="165"/>
    </row>
    <row r="241" spans="1:8" ht="15" customHeight="1">
      <c r="A241" s="168" t="s">
        <v>2048</v>
      </c>
      <c r="B241" s="169" t="s">
        <v>2047</v>
      </c>
      <c r="C241" s="955" t="s">
        <v>175</v>
      </c>
      <c r="D241" s="955" t="s">
        <v>180</v>
      </c>
      <c r="E241" s="1007" t="s">
        <v>1917</v>
      </c>
      <c r="F241" s="1008" t="s">
        <v>1920</v>
      </c>
      <c r="G241" s="1007" t="str">
        <f>+VLOOKUP(Data_Validation!$A241,BV_Data_An_Cour!$L:$Q,6,0)</f>
        <v>5-Ventes</v>
      </c>
      <c r="H241" s="165"/>
    </row>
    <row r="242" spans="1:8" ht="15" customHeight="1">
      <c r="A242" s="168" t="s">
        <v>2169</v>
      </c>
      <c r="B242" s="169" t="s">
        <v>2150</v>
      </c>
      <c r="C242" s="955" t="s">
        <v>155</v>
      </c>
      <c r="D242" s="955" t="s">
        <v>162</v>
      </c>
      <c r="E242" s="1007" t="s">
        <v>1917</v>
      </c>
      <c r="F242" s="1008" t="s">
        <v>1920</v>
      </c>
      <c r="G242" s="1007" t="str">
        <f>+VLOOKUP(Data_Validation!$A242,BV_Data_An_Cour!$L:$Q,6,0)</f>
        <v>5-Ventes</v>
      </c>
      <c r="H242" s="165"/>
    </row>
    <row r="243" spans="1:8" ht="15" customHeight="1">
      <c r="A243" s="168" t="s">
        <v>2115</v>
      </c>
      <c r="B243" s="169" t="s">
        <v>2114</v>
      </c>
      <c r="C243" s="955" t="s">
        <v>175</v>
      </c>
      <c r="D243" s="955" t="s">
        <v>177</v>
      </c>
      <c r="E243" s="1007" t="s">
        <v>1917</v>
      </c>
      <c r="F243" s="1008" t="s">
        <v>1920</v>
      </c>
      <c r="G243" s="1007" t="str">
        <f>+VLOOKUP(Data_Validation!$A243,BV_Data_An_Cour!$L:$Q,6,0)</f>
        <v>5-Ventes</v>
      </c>
      <c r="H243" s="165"/>
    </row>
    <row r="244" spans="1:8" ht="15" customHeight="1">
      <c r="A244" s="169" t="s">
        <v>2445</v>
      </c>
      <c r="B244" s="169" t="s">
        <v>2114</v>
      </c>
      <c r="C244" s="955" t="s">
        <v>175</v>
      </c>
      <c r="D244" s="955" t="s">
        <v>177</v>
      </c>
      <c r="E244" s="1007" t="s">
        <v>1917</v>
      </c>
      <c r="F244" s="1008" t="s">
        <v>1920</v>
      </c>
      <c r="G244" s="1007" t="e">
        <f>+VLOOKUP(Data_Validation!$A244,BV_Data_An_Cour!$L:$Q,6,0)</f>
        <v>#N/A</v>
      </c>
      <c r="H244" s="165"/>
    </row>
    <row r="245" spans="1:8" ht="15" customHeight="1">
      <c r="A245" s="168" t="s">
        <v>2108</v>
      </c>
      <c r="B245" s="169" t="s">
        <v>2107</v>
      </c>
      <c r="C245" s="955" t="s">
        <v>175</v>
      </c>
      <c r="D245" s="955" t="s">
        <v>178</v>
      </c>
      <c r="E245" s="1007" t="s">
        <v>1917</v>
      </c>
      <c r="F245" s="1008" t="s">
        <v>1920</v>
      </c>
      <c r="G245" s="1007" t="str">
        <f>+VLOOKUP(Data_Validation!$A245,BV_Data_An_Cour!$L:$Q,6,0)</f>
        <v>5-Ventes</v>
      </c>
      <c r="H245" s="165"/>
    </row>
    <row r="246" spans="1:8" ht="15" customHeight="1">
      <c r="A246" s="950" t="s">
        <v>2091</v>
      </c>
      <c r="B246" s="171" t="s">
        <v>2090</v>
      </c>
      <c r="C246" s="955" t="s">
        <v>175</v>
      </c>
      <c r="D246" s="955" t="s">
        <v>178</v>
      </c>
      <c r="E246" s="1007" t="s">
        <v>1917</v>
      </c>
      <c r="F246" s="1008" t="s">
        <v>1920</v>
      </c>
      <c r="G246" s="1007" t="str">
        <f>+VLOOKUP(Data_Validation!$A246,BV_Data_An_Cour!$L:$Q,6,0)</f>
        <v>5-Ventes</v>
      </c>
      <c r="H246" s="165"/>
    </row>
    <row r="247" spans="1:8" ht="15" customHeight="1">
      <c r="A247" s="171" t="s">
        <v>2166</v>
      </c>
      <c r="B247" s="171" t="s">
        <v>2165</v>
      </c>
      <c r="C247" s="955" t="s">
        <v>175</v>
      </c>
      <c r="D247" s="955" t="s">
        <v>178</v>
      </c>
      <c r="E247" s="1007" t="s">
        <v>1917</v>
      </c>
      <c r="F247" s="1008" t="s">
        <v>1920</v>
      </c>
      <c r="G247" s="1007" t="str">
        <f>+VLOOKUP(Data_Validation!$A247,BV_Data_An_Cour!$L:$Q,6,0)</f>
        <v>5-Ventes</v>
      </c>
      <c r="H247" s="165"/>
    </row>
    <row r="248" spans="1:8" ht="15" customHeight="1">
      <c r="A248" s="950" t="s">
        <v>2083</v>
      </c>
      <c r="B248" s="171" t="s">
        <v>2082</v>
      </c>
      <c r="C248" s="955" t="s">
        <v>175</v>
      </c>
      <c r="D248" s="955" t="s">
        <v>181</v>
      </c>
      <c r="E248" s="1007" t="s">
        <v>1917</v>
      </c>
      <c r="F248" s="1008" t="s">
        <v>1920</v>
      </c>
      <c r="G248" s="1007" t="str">
        <f>+VLOOKUP(Data_Validation!$A248,BV_Data_An_Cour!$L:$Q,6,0)</f>
        <v>5-Ventes</v>
      </c>
      <c r="H248" s="165"/>
    </row>
    <row r="249" spans="1:8" ht="15" customHeight="1">
      <c r="A249" s="950" t="s">
        <v>2046</v>
      </c>
      <c r="B249" s="171" t="s">
        <v>2045</v>
      </c>
      <c r="C249" s="955" t="s">
        <v>175</v>
      </c>
      <c r="D249" s="955" t="s">
        <v>182</v>
      </c>
      <c r="E249" s="1007" t="s">
        <v>1917</v>
      </c>
      <c r="F249" s="1008" t="s">
        <v>1920</v>
      </c>
      <c r="G249" s="1007" t="str">
        <f>+VLOOKUP(Data_Validation!$A249,BV_Data_An_Cour!$L:$Q,6,0)</f>
        <v>5-Ventes</v>
      </c>
      <c r="H249" s="165"/>
    </row>
    <row r="250" spans="1:8" ht="15" customHeight="1">
      <c r="A250" s="167" t="s">
        <v>2035</v>
      </c>
      <c r="B250" s="171" t="s">
        <v>2034</v>
      </c>
      <c r="C250" s="955" t="s">
        <v>175</v>
      </c>
      <c r="D250" s="955" t="s">
        <v>186</v>
      </c>
      <c r="E250" s="1007" t="s">
        <v>1917</v>
      </c>
      <c r="F250" s="1008" t="s">
        <v>1920</v>
      </c>
      <c r="G250" s="1007" t="str">
        <f>+VLOOKUP(Data_Validation!$A250,BV_Data_An_Cour!$L:$Q,6,0)</f>
        <v>5-Ventes</v>
      </c>
      <c r="H250" s="165"/>
    </row>
    <row r="251" spans="1:8" ht="15" customHeight="1">
      <c r="A251" s="950" t="s">
        <v>2121</v>
      </c>
      <c r="B251" s="171" t="s">
        <v>2120</v>
      </c>
      <c r="C251" s="955" t="s">
        <v>175</v>
      </c>
      <c r="D251" s="955" t="s">
        <v>186</v>
      </c>
      <c r="E251" s="1007" t="s">
        <v>1917</v>
      </c>
      <c r="F251" s="1008" t="s">
        <v>1920</v>
      </c>
      <c r="G251" s="1007" t="str">
        <f>+VLOOKUP(Data_Validation!$A251,BV_Data_An_Cour!$L:$Q,6,0)</f>
        <v>5-Ventes</v>
      </c>
      <c r="H251" s="165"/>
    </row>
    <row r="252" spans="1:8" ht="15" customHeight="1">
      <c r="A252" s="171" t="s">
        <v>2841</v>
      </c>
      <c r="B252" s="171" t="s">
        <v>2840</v>
      </c>
      <c r="C252" s="955" t="s">
        <v>75</v>
      </c>
      <c r="D252" s="955" t="s">
        <v>96</v>
      </c>
      <c r="E252" s="1007" t="s">
        <v>1917</v>
      </c>
      <c r="F252" s="1008"/>
      <c r="G252" s="1007" t="str">
        <f>+VLOOKUP(Data_Validation!$A252,BV_Data_An_Cour!$L:$Q,6,0)</f>
        <v>6-Coût des ventes</v>
      </c>
      <c r="H252" s="165"/>
    </row>
    <row r="253" spans="1:8" ht="15" customHeight="1">
      <c r="A253" s="950" t="s">
        <v>2447</v>
      </c>
      <c r="B253" s="171" t="s">
        <v>2446</v>
      </c>
      <c r="C253" s="955" t="s">
        <v>75</v>
      </c>
      <c r="D253" s="955" t="s">
        <v>89</v>
      </c>
      <c r="E253" s="1007" t="s">
        <v>1917</v>
      </c>
      <c r="F253" s="1007"/>
      <c r="G253" s="1007" t="e">
        <f>+VLOOKUP(Data_Validation!$A253,BV_Data_An_Cour!$L:$Q,6,0)</f>
        <v>#N/A</v>
      </c>
      <c r="H253" s="165"/>
    </row>
    <row r="254" spans="1:8" ht="15" customHeight="1">
      <c r="A254" s="168" t="s">
        <v>2449</v>
      </c>
      <c r="B254" s="169" t="s">
        <v>2448</v>
      </c>
      <c r="C254" s="955" t="s">
        <v>75</v>
      </c>
      <c r="D254" s="955" t="s">
        <v>89</v>
      </c>
      <c r="E254" s="1007" t="s">
        <v>1917</v>
      </c>
      <c r="F254" s="1007"/>
      <c r="G254" s="1007" t="str">
        <f>+VLOOKUP(Data_Validation!$A254,BV_Data_An_Cour!$L:$Q,6,0)</f>
        <v>6-Coût des ventes</v>
      </c>
      <c r="H254" s="165"/>
    </row>
    <row r="255" spans="1:8" ht="15" customHeight="1">
      <c r="A255" s="950" t="s">
        <v>2843</v>
      </c>
      <c r="B255" s="171" t="s">
        <v>2842</v>
      </c>
      <c r="C255" s="955" t="s">
        <v>75</v>
      </c>
      <c r="D255" s="955" t="s">
        <v>89</v>
      </c>
      <c r="E255" s="1007" t="s">
        <v>1917</v>
      </c>
      <c r="F255" s="1007"/>
      <c r="G255" s="1007" t="str">
        <f>+VLOOKUP(Data_Validation!$A255,BV_Data_An_Cour!$L:$Q,6,0)</f>
        <v>6-Coût des ventes</v>
      </c>
      <c r="H255" s="165"/>
    </row>
    <row r="256" spans="1:8" ht="15" customHeight="1">
      <c r="A256" s="168" t="s">
        <v>2451</v>
      </c>
      <c r="B256" s="169" t="s">
        <v>2450</v>
      </c>
      <c r="C256" s="955" t="s">
        <v>75</v>
      </c>
      <c r="D256" s="955" t="s">
        <v>89</v>
      </c>
      <c r="E256" s="1007" t="s">
        <v>1917</v>
      </c>
      <c r="F256" s="1007"/>
      <c r="G256" s="1007" t="e">
        <f>+VLOOKUP(Data_Validation!$A256,BV_Data_An_Cour!$L:$Q,6,0)</f>
        <v>#N/A</v>
      </c>
      <c r="H256" s="165"/>
    </row>
    <row r="257" spans="1:8" ht="15" customHeight="1">
      <c r="A257" s="168" t="s">
        <v>2845</v>
      </c>
      <c r="B257" s="169" t="s">
        <v>2844</v>
      </c>
      <c r="C257" s="955" t="s">
        <v>75</v>
      </c>
      <c r="D257" s="955" t="s">
        <v>89</v>
      </c>
      <c r="E257" s="1007" t="s">
        <v>1917</v>
      </c>
      <c r="F257" s="1007"/>
      <c r="G257" s="1007" t="str">
        <f>+VLOOKUP(Data_Validation!$A257,BV_Data_An_Cour!$L:$Q,6,0)</f>
        <v>6-Coût des ventes</v>
      </c>
      <c r="H257" s="165"/>
    </row>
    <row r="258" spans="1:8" ht="15" customHeight="1">
      <c r="A258" s="950" t="s">
        <v>2453</v>
      </c>
      <c r="B258" s="171" t="s">
        <v>2452</v>
      </c>
      <c r="C258" s="955" t="s">
        <v>75</v>
      </c>
      <c r="D258" s="955" t="s">
        <v>89</v>
      </c>
      <c r="E258" s="1007" t="s">
        <v>1917</v>
      </c>
      <c r="F258" s="1007"/>
      <c r="G258" s="1007" t="e">
        <f>+VLOOKUP(Data_Validation!$A258,BV_Data_An_Cour!$L:$Q,6,0)</f>
        <v>#N/A</v>
      </c>
      <c r="H258" s="165"/>
    </row>
    <row r="259" spans="1:8" ht="15" customHeight="1">
      <c r="A259" s="168" t="s">
        <v>2455</v>
      </c>
      <c r="B259" s="169" t="s">
        <v>2454</v>
      </c>
      <c r="C259" s="955" t="s">
        <v>75</v>
      </c>
      <c r="D259" s="955" t="s">
        <v>89</v>
      </c>
      <c r="E259" s="1007" t="s">
        <v>1917</v>
      </c>
      <c r="F259" s="1007"/>
      <c r="G259" s="1007" t="str">
        <f>+VLOOKUP(Data_Validation!$A259,BV_Data_An_Cour!$L:$Q,6,0)</f>
        <v>6-Coût des ventes</v>
      </c>
      <c r="H259" s="165"/>
    </row>
    <row r="260" spans="1:8" s="570" customFormat="1" ht="15" customHeight="1">
      <c r="A260" s="950" t="s">
        <v>2949</v>
      </c>
      <c r="B260" s="171" t="s">
        <v>2948</v>
      </c>
      <c r="C260" s="955" t="s">
        <v>75</v>
      </c>
      <c r="D260" s="955" t="s">
        <v>90</v>
      </c>
      <c r="E260" s="1007" t="s">
        <v>1917</v>
      </c>
      <c r="F260" s="1007"/>
      <c r="G260" s="1007" t="str">
        <f>+VLOOKUP(Data_Validation!$A259,BV_Data_An_Cour!$L:$Q,6,0)</f>
        <v>6-Coût des ventes</v>
      </c>
      <c r="H260" s="165"/>
    </row>
    <row r="261" spans="1:8" ht="15" customHeight="1">
      <c r="A261" s="950" t="s">
        <v>2851</v>
      </c>
      <c r="B261" s="171" t="s">
        <v>2850</v>
      </c>
      <c r="C261" s="955" t="s">
        <v>75</v>
      </c>
      <c r="D261" s="955" t="s">
        <v>90</v>
      </c>
      <c r="E261" s="1007" t="s">
        <v>1917</v>
      </c>
      <c r="F261" s="1007"/>
      <c r="G261" s="1007" t="str">
        <f>+VLOOKUP(Data_Validation!$A261,BV_Data_An_Cour!$L:$Q,6,0)</f>
        <v>6-Coût des ventes</v>
      </c>
      <c r="H261" s="165"/>
    </row>
    <row r="262" spans="1:8" ht="15" customHeight="1">
      <c r="A262" s="952" t="s">
        <v>2837</v>
      </c>
      <c r="B262" s="169" t="s">
        <v>2836</v>
      </c>
      <c r="C262" s="955" t="s">
        <v>75</v>
      </c>
      <c r="D262" s="955" t="s">
        <v>89</v>
      </c>
      <c r="E262" s="1007" t="s">
        <v>1917</v>
      </c>
      <c r="F262" s="1007"/>
      <c r="G262" s="1007" t="str">
        <f>+VLOOKUP(Data_Validation!$A262,BV_Data_An_Cour!$L:$Q,6,0)</f>
        <v>6-Coût des ventes</v>
      </c>
      <c r="H262" s="165"/>
    </row>
    <row r="263" spans="1:8" ht="15" customHeight="1">
      <c r="A263" s="168" t="s">
        <v>2856</v>
      </c>
      <c r="B263" s="169" t="s">
        <v>2855</v>
      </c>
      <c r="C263" s="955" t="s">
        <v>75</v>
      </c>
      <c r="D263" s="955" t="s">
        <v>90</v>
      </c>
      <c r="E263" s="1007" t="s">
        <v>1917</v>
      </c>
      <c r="F263" s="1007"/>
      <c r="G263" s="1007" t="str">
        <f>+VLOOKUP(Data_Validation!$A263,BV_Data_An_Cour!$L:$Q,6,0)</f>
        <v>6-Coût des ventes</v>
      </c>
      <c r="H263" s="165"/>
    </row>
    <row r="264" spans="1:8" ht="15" customHeight="1">
      <c r="A264" s="1019" t="s">
        <v>2839</v>
      </c>
      <c r="B264" s="1020" t="s">
        <v>2838</v>
      </c>
      <c r="C264" s="1021" t="s">
        <v>75</v>
      </c>
      <c r="D264" s="955" t="s">
        <v>89</v>
      </c>
      <c r="E264" s="1007" t="s">
        <v>1917</v>
      </c>
      <c r="F264" s="1007"/>
      <c r="G264" s="1007" t="str">
        <f>+VLOOKUP(Data_Validation!$A264,BV_Data_An_Cour!$L:$Q,6,0)</f>
        <v>6-Coût des ventes</v>
      </c>
      <c r="H264" s="165"/>
    </row>
    <row r="265" spans="1:8" ht="15" customHeight="1">
      <c r="A265" s="1022" t="s">
        <v>2457</v>
      </c>
      <c r="B265" s="1023" t="s">
        <v>2456</v>
      </c>
      <c r="C265" s="955" t="s">
        <v>75</v>
      </c>
      <c r="D265" s="955" t="s">
        <v>95</v>
      </c>
      <c r="E265" s="1007" t="s">
        <v>1917</v>
      </c>
      <c r="F265" s="1007"/>
      <c r="G265" s="1007" t="str">
        <f>+VLOOKUP(Data_Validation!$A265,BV_Data_An_Cour!$L:$Q,6,0)</f>
        <v>6-Coût des ventes</v>
      </c>
      <c r="H265" s="165"/>
    </row>
    <row r="266" spans="1:8" ht="15" customHeight="1">
      <c r="A266" s="1019" t="s">
        <v>2849</v>
      </c>
      <c r="B266" s="1024" t="s">
        <v>2456</v>
      </c>
      <c r="C266" s="955" t="s">
        <v>75</v>
      </c>
      <c r="D266" s="955" t="s">
        <v>94</v>
      </c>
      <c r="E266" s="1007" t="s">
        <v>1917</v>
      </c>
      <c r="F266" s="1007"/>
      <c r="G266" s="1007" t="str">
        <f>+VLOOKUP(Data_Validation!$A266,BV_Data_An_Cour!$L:$Q,6,0)</f>
        <v>6-Coût des ventes</v>
      </c>
      <c r="H266" s="165"/>
    </row>
    <row r="267" spans="1:8" ht="15" customHeight="1">
      <c r="A267" s="1019" t="s">
        <v>2853</v>
      </c>
      <c r="B267" s="1024" t="s">
        <v>2852</v>
      </c>
      <c r="C267" s="955" t="s">
        <v>144</v>
      </c>
      <c r="D267" s="955" t="s">
        <v>146</v>
      </c>
      <c r="E267" s="1007" t="s">
        <v>1917</v>
      </c>
      <c r="F267" s="1007"/>
      <c r="G267" s="1007" t="str">
        <f>+VLOOKUP(Data_Validation!$A267,BV_Data_An_Cour!$L:$Q,6,0)</f>
        <v>6-Coût des ventes</v>
      </c>
      <c r="H267" s="165"/>
    </row>
    <row r="268" spans="1:8" ht="15" customHeight="1">
      <c r="A268" s="1022" t="s">
        <v>2831</v>
      </c>
      <c r="B268" s="1025" t="s">
        <v>2830</v>
      </c>
      <c r="C268" s="1021" t="s">
        <v>144</v>
      </c>
      <c r="D268" s="955" t="s">
        <v>146</v>
      </c>
      <c r="E268" s="1007" t="s">
        <v>1917</v>
      </c>
      <c r="F268" s="1007"/>
      <c r="G268" s="1007" t="str">
        <f>+VLOOKUP(Data_Validation!$A268,BV_Data_An_Cour!$L:$Q,6,0)</f>
        <v>6-Coût des ventes</v>
      </c>
      <c r="H268" s="165"/>
    </row>
    <row r="269" spans="1:8" ht="15" customHeight="1">
      <c r="A269" s="950" t="s">
        <v>2619</v>
      </c>
      <c r="B269" s="171" t="s">
        <v>2618</v>
      </c>
      <c r="C269" s="955" t="s">
        <v>144</v>
      </c>
      <c r="D269" s="955" t="s">
        <v>147</v>
      </c>
      <c r="E269" s="1007" t="s">
        <v>1917</v>
      </c>
      <c r="F269" s="1007"/>
      <c r="G269" s="1007" t="str">
        <f>+VLOOKUP(Data_Validation!$A269,BV_Data_An_Cour!$L:$Q,6,0)</f>
        <v>6-Coût des ventes</v>
      </c>
      <c r="H269" s="165"/>
    </row>
    <row r="270" spans="1:8" ht="15" customHeight="1">
      <c r="A270" s="168" t="s">
        <v>2459</v>
      </c>
      <c r="B270" s="169" t="s">
        <v>2458</v>
      </c>
      <c r="C270" s="955" t="s">
        <v>144</v>
      </c>
      <c r="D270" s="955" t="s">
        <v>147</v>
      </c>
      <c r="E270" s="1007" t="s">
        <v>1917</v>
      </c>
      <c r="F270" s="1007"/>
      <c r="G270" s="1007" t="str">
        <f>+VLOOKUP(Data_Validation!$A270,BV_Data_An_Cour!$L:$Q,6,0)</f>
        <v>6-Coût des ventes</v>
      </c>
      <c r="H270" s="165"/>
    </row>
    <row r="271" spans="1:8" ht="15" customHeight="1">
      <c r="A271" s="168" t="s">
        <v>2827</v>
      </c>
      <c r="B271" s="169" t="s">
        <v>2038</v>
      </c>
      <c r="C271" s="955" t="s">
        <v>144</v>
      </c>
      <c r="D271" s="955" t="s">
        <v>147</v>
      </c>
      <c r="E271" s="1007" t="s">
        <v>1917</v>
      </c>
      <c r="F271" s="1007"/>
      <c r="G271" s="1007" t="str">
        <f>+VLOOKUP(Data_Validation!$A271,BV_Data_An_Cour!$L:$Q,6,0)</f>
        <v>6-Coût des ventes</v>
      </c>
      <c r="H271" s="165"/>
    </row>
    <row r="272" spans="1:8" ht="15" customHeight="1">
      <c r="A272" s="171" t="s">
        <v>2673</v>
      </c>
      <c r="B272" s="171" t="s">
        <v>2672</v>
      </c>
      <c r="C272" s="955" t="s">
        <v>144</v>
      </c>
      <c r="D272" s="955" t="s">
        <v>147</v>
      </c>
      <c r="E272" s="1007" t="s">
        <v>1917</v>
      </c>
      <c r="F272" s="1007"/>
      <c r="G272" s="1007" t="str">
        <f>+VLOOKUP(Data_Validation!$A272,BV_Data_An_Cour!$L:$Q,6,0)</f>
        <v>6-Coût des ventes</v>
      </c>
      <c r="H272" s="165"/>
    </row>
    <row r="273" spans="1:8" ht="15" customHeight="1">
      <c r="A273" s="950" t="s">
        <v>2848</v>
      </c>
      <c r="B273" s="171" t="s">
        <v>2006</v>
      </c>
      <c r="C273" s="955" t="s">
        <v>144</v>
      </c>
      <c r="D273" s="955" t="s">
        <v>150</v>
      </c>
      <c r="E273" s="1007" t="s">
        <v>1917</v>
      </c>
      <c r="F273" s="1007"/>
      <c r="G273" s="1007" t="str">
        <f>+VLOOKUP(Data_Validation!$A273,BV_Data_An_Cour!$L:$Q,6,0)</f>
        <v>6-Coût des ventes</v>
      </c>
      <c r="H273" s="165"/>
    </row>
    <row r="274" spans="1:8" ht="15" customHeight="1">
      <c r="A274" s="168" t="s">
        <v>2829</v>
      </c>
      <c r="B274" s="169" t="s">
        <v>2828</v>
      </c>
      <c r="C274" s="955" t="s">
        <v>155</v>
      </c>
      <c r="D274" s="955" t="s">
        <v>159</v>
      </c>
      <c r="E274" s="1007" t="s">
        <v>1917</v>
      </c>
      <c r="F274" s="1007"/>
      <c r="G274" s="1007" t="str">
        <f>+VLOOKUP(Data_Validation!$A274,BV_Data_An_Cour!$L:$Q,6,0)</f>
        <v>6-Coût des ventes</v>
      </c>
      <c r="H274" s="165"/>
    </row>
    <row r="275" spans="1:8" ht="15" customHeight="1">
      <c r="A275" s="950" t="s">
        <v>2567</v>
      </c>
      <c r="B275" s="171" t="s">
        <v>2566</v>
      </c>
      <c r="C275" s="955" t="s">
        <v>155</v>
      </c>
      <c r="D275" s="955" t="s">
        <v>163</v>
      </c>
      <c r="E275" s="1007" t="s">
        <v>1917</v>
      </c>
      <c r="F275" s="1007"/>
      <c r="G275" s="1007" t="str">
        <f>+VLOOKUP(Data_Validation!$A275,BV_Data_An_Cour!$L:$Q,6,0)</f>
        <v>6-Coût des ventes</v>
      </c>
      <c r="H275" s="165"/>
    </row>
    <row r="276" spans="1:8" ht="15" customHeight="1">
      <c r="A276" s="167" t="s">
        <v>2792</v>
      </c>
      <c r="B276" s="171" t="s">
        <v>2791</v>
      </c>
      <c r="C276" s="955" t="s">
        <v>155</v>
      </c>
      <c r="D276" s="955" t="s">
        <v>161</v>
      </c>
      <c r="E276" s="1007" t="s">
        <v>1917</v>
      </c>
      <c r="F276" s="1007"/>
      <c r="G276" s="1007" t="str">
        <f>+VLOOKUP(Data_Validation!$A276,BV_Data_An_Cour!$L:$Q,6,0)</f>
        <v>6-Coût des ventes</v>
      </c>
      <c r="H276" s="165"/>
    </row>
    <row r="277" spans="1:8" ht="15" customHeight="1">
      <c r="A277" s="950" t="s">
        <v>2778</v>
      </c>
      <c r="B277" s="171" t="s">
        <v>2777</v>
      </c>
      <c r="C277" s="955" t="s">
        <v>155</v>
      </c>
      <c r="D277" s="955" t="s">
        <v>162</v>
      </c>
      <c r="E277" s="1007" t="s">
        <v>1917</v>
      </c>
      <c r="F277" s="1007"/>
      <c r="G277" s="1007" t="str">
        <f>+VLOOKUP(Data_Validation!$A277,BV_Data_An_Cour!$L:$Q,6,0)</f>
        <v>6-Coût des ventes</v>
      </c>
      <c r="H277" s="165"/>
    </row>
    <row r="278" spans="1:8" ht="15" customHeight="1">
      <c r="A278" s="950" t="s">
        <v>2726</v>
      </c>
      <c r="B278" s="171" t="s">
        <v>2725</v>
      </c>
      <c r="C278" s="955" t="s">
        <v>155</v>
      </c>
      <c r="D278" s="955" t="s">
        <v>164</v>
      </c>
      <c r="E278" s="1007" t="s">
        <v>1917</v>
      </c>
      <c r="F278" s="1007"/>
      <c r="G278" s="1007" t="str">
        <f>+VLOOKUP(Data_Validation!$A278,BV_Data_An_Cour!$L:$Q,6,0)</f>
        <v>6-Coût des ventes</v>
      </c>
      <c r="H278" s="165"/>
    </row>
    <row r="279" spans="1:8" ht="15" customHeight="1">
      <c r="A279" s="950" t="s">
        <v>2802</v>
      </c>
      <c r="B279" s="171" t="s">
        <v>2071</v>
      </c>
      <c r="C279" s="955" t="s">
        <v>175</v>
      </c>
      <c r="D279" s="955" t="s">
        <v>187</v>
      </c>
      <c r="E279" s="1007" t="s">
        <v>1917</v>
      </c>
      <c r="F279" s="1007"/>
      <c r="G279" s="1007" t="str">
        <f>+VLOOKUP(Data_Validation!$A279,BV_Data_An_Cour!$L:$Q,6,0)</f>
        <v>6-Coût des ventes</v>
      </c>
      <c r="H279" s="165"/>
    </row>
    <row r="280" spans="1:8" ht="15" customHeight="1">
      <c r="A280" s="950" t="s">
        <v>2713</v>
      </c>
      <c r="B280" s="171" t="s">
        <v>2144</v>
      </c>
      <c r="C280" s="955" t="s">
        <v>155</v>
      </c>
      <c r="D280" s="955" t="s">
        <v>167</v>
      </c>
      <c r="E280" s="1007" t="s">
        <v>1917</v>
      </c>
      <c r="F280" s="1007"/>
      <c r="G280" s="1007" t="str">
        <f>+VLOOKUP(Data_Validation!$A280,BV_Data_An_Cour!$L:$Q,6,0)</f>
        <v>6-Coût des ventes</v>
      </c>
      <c r="H280" s="165"/>
    </row>
    <row r="281" spans="1:8" ht="15" customHeight="1">
      <c r="A281" s="168" t="s">
        <v>2688</v>
      </c>
      <c r="B281" s="169" t="s">
        <v>2687</v>
      </c>
      <c r="C281" s="955" t="s">
        <v>155</v>
      </c>
      <c r="D281" s="955" t="s">
        <v>167</v>
      </c>
      <c r="E281" s="1007" t="s">
        <v>1917</v>
      </c>
      <c r="F281" s="1010"/>
      <c r="G281" s="1010" t="str">
        <f>+VLOOKUP(Data_Validation!$A281,BV_Data_An_Cour!$L:$Q,6,0)</f>
        <v>6-Coût des ventes</v>
      </c>
      <c r="H281" s="165"/>
    </row>
    <row r="282" spans="1:8" ht="15" customHeight="1">
      <c r="A282" s="950" t="s">
        <v>2790</v>
      </c>
      <c r="B282" s="171" t="s">
        <v>2789</v>
      </c>
      <c r="C282" s="955" t="s">
        <v>155</v>
      </c>
      <c r="D282" s="955" t="s">
        <v>167</v>
      </c>
      <c r="E282" s="1007" t="s">
        <v>1917</v>
      </c>
      <c r="F282" s="1007"/>
      <c r="G282" s="1007" t="str">
        <f>+VLOOKUP(Data_Validation!$A282,BV_Data_An_Cour!$L:$Q,6,0)</f>
        <v>6-Coût des ventes</v>
      </c>
      <c r="H282" s="165"/>
    </row>
    <row r="283" spans="1:8" ht="15" customHeight="1">
      <c r="A283" s="950" t="s">
        <v>2799</v>
      </c>
      <c r="B283" s="171" t="s">
        <v>2798</v>
      </c>
      <c r="C283" s="955" t="s">
        <v>171</v>
      </c>
      <c r="D283" s="955" t="s">
        <v>172</v>
      </c>
      <c r="E283" s="1007" t="s">
        <v>1917</v>
      </c>
      <c r="F283" s="1007"/>
      <c r="G283" s="1007" t="str">
        <f>+VLOOKUP(Data_Validation!$A283,BV_Data_An_Cour!$L:$Q,6,0)</f>
        <v>6-Coût des ventes</v>
      </c>
      <c r="H283" s="165"/>
    </row>
    <row r="284" spans="1:8" ht="15" customHeight="1">
      <c r="A284" s="167" t="s">
        <v>2809</v>
      </c>
      <c r="B284" s="171" t="s">
        <v>2808</v>
      </c>
      <c r="C284" s="955" t="s">
        <v>171</v>
      </c>
      <c r="D284" s="955" t="s">
        <v>172</v>
      </c>
      <c r="E284" s="1007" t="s">
        <v>1917</v>
      </c>
      <c r="F284" s="1007"/>
      <c r="G284" s="1007" t="str">
        <f>+VLOOKUP(Data_Validation!$A284,BV_Data_An_Cour!$L:$Q,6,0)</f>
        <v>6-Coût des ventes</v>
      </c>
      <c r="H284" s="165"/>
    </row>
    <row r="285" spans="1:8" ht="15" customHeight="1">
      <c r="A285" s="950" t="s">
        <v>2768</v>
      </c>
      <c r="B285" s="171" t="s">
        <v>2767</v>
      </c>
      <c r="C285" s="955" t="s">
        <v>171</v>
      </c>
      <c r="D285" s="955" t="s">
        <v>172</v>
      </c>
      <c r="E285" s="1007" t="s">
        <v>1917</v>
      </c>
      <c r="F285" s="1007"/>
      <c r="G285" s="1007" t="str">
        <f>+VLOOKUP(Data_Validation!$A285,BV_Data_An_Cour!$L:$Q,6,0)</f>
        <v>6-Coût des ventes</v>
      </c>
      <c r="H285" s="165"/>
    </row>
    <row r="286" spans="1:8" ht="15" customHeight="1">
      <c r="A286" s="950" t="s">
        <v>2833</v>
      </c>
      <c r="B286" s="171" t="s">
        <v>2832</v>
      </c>
      <c r="C286" s="955" t="s">
        <v>175</v>
      </c>
      <c r="D286" s="955" t="s">
        <v>177</v>
      </c>
      <c r="E286" s="1007" t="s">
        <v>1917</v>
      </c>
      <c r="F286" s="1007"/>
      <c r="G286" s="1007" t="str">
        <f>+VLOOKUP(Data_Validation!$A286,BV_Data_An_Cour!$L:$Q,6,0)</f>
        <v>6-Coût des ventes</v>
      </c>
      <c r="H286" s="165"/>
    </row>
    <row r="287" spans="1:8" ht="15" customHeight="1">
      <c r="A287" s="950" t="s">
        <v>2705</v>
      </c>
      <c r="B287" s="171" t="s">
        <v>2658</v>
      </c>
      <c r="C287" s="955" t="s">
        <v>155</v>
      </c>
      <c r="D287" s="955" t="s">
        <v>159</v>
      </c>
      <c r="E287" s="1007" t="s">
        <v>1917</v>
      </c>
      <c r="F287" s="1007"/>
      <c r="G287" s="1007" t="str">
        <f>+VLOOKUP(Data_Validation!$A287,BV_Data_An_Cour!$L:$Q,6,0)</f>
        <v>6-Coût des ventes</v>
      </c>
      <c r="H287" s="165"/>
    </row>
    <row r="288" spans="1:8" ht="15" customHeight="1">
      <c r="A288" s="168" t="s">
        <v>2815</v>
      </c>
      <c r="B288" s="169" t="s">
        <v>2814</v>
      </c>
      <c r="C288" s="955" t="s">
        <v>175</v>
      </c>
      <c r="D288" s="955" t="s">
        <v>179</v>
      </c>
      <c r="E288" s="1007" t="s">
        <v>1917</v>
      </c>
      <c r="F288" s="1007"/>
      <c r="G288" s="1007" t="str">
        <f>+VLOOKUP(Data_Validation!$A288,BV_Data_An_Cour!$L:$Q,6,0)</f>
        <v>6-Coût des ventes</v>
      </c>
      <c r="H288" s="165"/>
    </row>
    <row r="289" spans="1:8" ht="15" customHeight="1">
      <c r="A289" s="950" t="s">
        <v>2812</v>
      </c>
      <c r="B289" s="171" t="s">
        <v>2811</v>
      </c>
      <c r="C289" s="955" t="s">
        <v>175</v>
      </c>
      <c r="D289" s="955" t="s">
        <v>180</v>
      </c>
      <c r="E289" s="1007" t="s">
        <v>1917</v>
      </c>
      <c r="F289" s="1007"/>
      <c r="G289" s="1007" t="str">
        <f>+VLOOKUP(Data_Validation!$A289,BV_Data_An_Cour!$L:$Q,6,0)</f>
        <v>6-Coût des ventes</v>
      </c>
      <c r="H289" s="165"/>
    </row>
    <row r="290" spans="1:8" ht="15" customHeight="1">
      <c r="A290" s="168" t="s">
        <v>2659</v>
      </c>
      <c r="B290" s="169" t="s">
        <v>2658</v>
      </c>
      <c r="C290" s="955" t="s">
        <v>155</v>
      </c>
      <c r="D290" s="955" t="s">
        <v>162</v>
      </c>
      <c r="E290" s="1007" t="s">
        <v>1917</v>
      </c>
      <c r="F290" s="1007"/>
      <c r="G290" s="1007" t="str">
        <f>+VLOOKUP(Data_Validation!$A290,BV_Data_An_Cour!$L:$Q,6,0)</f>
        <v>6-Coût des ventes</v>
      </c>
      <c r="H290" s="165"/>
    </row>
    <row r="291" spans="1:8" ht="15" customHeight="1">
      <c r="A291" s="950" t="s">
        <v>2728</v>
      </c>
      <c r="B291" s="171" t="s">
        <v>2460</v>
      </c>
      <c r="C291" s="955" t="s">
        <v>175</v>
      </c>
      <c r="D291" s="955" t="s">
        <v>177</v>
      </c>
      <c r="E291" s="1007" t="s">
        <v>1917</v>
      </c>
      <c r="F291" s="1007"/>
      <c r="G291" s="1007" t="str">
        <f>+VLOOKUP(Data_Validation!$A291,BV_Data_An_Cour!$L:$Q,6,0)</f>
        <v>6-Coût des ventes</v>
      </c>
      <c r="H291" s="165"/>
    </row>
    <row r="292" spans="1:8" ht="15" customHeight="1">
      <c r="A292" s="168" t="s">
        <v>2461</v>
      </c>
      <c r="B292" s="169" t="s">
        <v>2460</v>
      </c>
      <c r="C292" s="955" t="s">
        <v>175</v>
      </c>
      <c r="D292" s="955" t="s">
        <v>177</v>
      </c>
      <c r="E292" s="1007" t="s">
        <v>1917</v>
      </c>
      <c r="F292" s="1007"/>
      <c r="G292" s="1007" t="e">
        <f>+VLOOKUP(Data_Validation!$A292,BV_Data_An_Cour!$L:$Q,6,0)</f>
        <v>#N/A</v>
      </c>
      <c r="H292" s="165"/>
    </row>
    <row r="293" spans="1:8" ht="15" customHeight="1">
      <c r="A293" s="950" t="s">
        <v>2755</v>
      </c>
      <c r="B293" s="171" t="s">
        <v>2754</v>
      </c>
      <c r="C293" s="955" t="s">
        <v>175</v>
      </c>
      <c r="D293" s="955" t="s">
        <v>178</v>
      </c>
      <c r="E293" s="1007" t="s">
        <v>1917</v>
      </c>
      <c r="F293" s="1007"/>
      <c r="G293" s="1007" t="str">
        <f>+VLOOKUP(Data_Validation!$A293,BV_Data_An_Cour!$L:$Q,6,0)</f>
        <v>6-Coût des ventes</v>
      </c>
      <c r="H293" s="165"/>
    </row>
    <row r="294" spans="1:8" ht="15" customHeight="1">
      <c r="A294" s="168" t="s">
        <v>2788</v>
      </c>
      <c r="B294" s="169" t="s">
        <v>2787</v>
      </c>
      <c r="C294" s="955" t="s">
        <v>175</v>
      </c>
      <c r="D294" s="955" t="s">
        <v>178</v>
      </c>
      <c r="E294" s="1007" t="s">
        <v>1917</v>
      </c>
      <c r="F294" s="1007"/>
      <c r="G294" s="1007" t="str">
        <f>+VLOOKUP(Data_Validation!$A294,BV_Data_An_Cour!$L:$Q,6,0)</f>
        <v>6-Coût des ventes</v>
      </c>
      <c r="H294" s="165"/>
    </row>
    <row r="295" spans="1:8" ht="15" customHeight="1">
      <c r="A295" s="167" t="s">
        <v>2669</v>
      </c>
      <c r="B295" s="171" t="s">
        <v>2668</v>
      </c>
      <c r="C295" s="955" t="s">
        <v>175</v>
      </c>
      <c r="D295" s="955" t="s">
        <v>178</v>
      </c>
      <c r="E295" s="1007" t="s">
        <v>1917</v>
      </c>
      <c r="F295" s="1007"/>
      <c r="G295" s="1007" t="str">
        <f>+VLOOKUP(Data_Validation!$A295,BV_Data_An_Cour!$L:$Q,6,0)</f>
        <v>6-Coût des ventes</v>
      </c>
      <c r="H295" s="165"/>
    </row>
    <row r="296" spans="1:8" ht="15" customHeight="1">
      <c r="A296" s="950" t="s">
        <v>2795</v>
      </c>
      <c r="B296" s="171" t="s">
        <v>2794</v>
      </c>
      <c r="C296" s="955" t="s">
        <v>175</v>
      </c>
      <c r="D296" s="955" t="s">
        <v>181</v>
      </c>
      <c r="E296" s="1007" t="s">
        <v>1917</v>
      </c>
      <c r="F296" s="1007"/>
      <c r="G296" s="1007" t="str">
        <f>+VLOOKUP(Data_Validation!$A296,BV_Data_An_Cour!$L:$Q,6,0)</f>
        <v>6-Coût des ventes</v>
      </c>
      <c r="H296" s="165"/>
    </row>
    <row r="297" spans="1:8" ht="15" customHeight="1">
      <c r="A297" s="950" t="s">
        <v>2817</v>
      </c>
      <c r="B297" s="171" t="s">
        <v>2816</v>
      </c>
      <c r="C297" s="955" t="s">
        <v>175</v>
      </c>
      <c r="D297" s="955" t="s">
        <v>182</v>
      </c>
      <c r="E297" s="1007" t="s">
        <v>1917</v>
      </c>
      <c r="F297" s="1007"/>
      <c r="G297" s="1007" t="str">
        <f>+VLOOKUP(Data_Validation!$A297,BV_Data_An_Cour!$L:$Q,6,0)</f>
        <v>6-Coût des ventes</v>
      </c>
      <c r="H297" s="165"/>
    </row>
    <row r="298" spans="1:8" ht="15" customHeight="1">
      <c r="A298" s="950" t="s">
        <v>2821</v>
      </c>
      <c r="B298" s="171" t="s">
        <v>2820</v>
      </c>
      <c r="C298" s="955" t="s">
        <v>175</v>
      </c>
      <c r="D298" s="955" t="s">
        <v>186</v>
      </c>
      <c r="E298" s="1007" t="s">
        <v>1917</v>
      </c>
      <c r="F298" s="1007"/>
      <c r="G298" s="1007" t="str">
        <f>+VLOOKUP(Data_Validation!$A298,BV_Data_An_Cour!$L:$Q,6,0)</f>
        <v>6-Coût des ventes</v>
      </c>
      <c r="H298" s="165"/>
    </row>
    <row r="299" spans="1:8" ht="15" customHeight="1">
      <c r="A299" s="950" t="s">
        <v>2730</v>
      </c>
      <c r="B299" s="171" t="s">
        <v>2729</v>
      </c>
      <c r="C299" s="955" t="s">
        <v>175</v>
      </c>
      <c r="D299" s="955" t="s">
        <v>186</v>
      </c>
      <c r="E299" s="1007" t="s">
        <v>1917</v>
      </c>
      <c r="F299" s="1007"/>
      <c r="G299" s="1007" t="str">
        <f>+VLOOKUP(Data_Validation!$A299,BV_Data_An_Cour!$L:$Q,6,0)</f>
        <v>6-Coût des ventes</v>
      </c>
      <c r="H299" s="165"/>
    </row>
    <row r="300" spans="1:8" ht="15" customHeight="1">
      <c r="A300" s="168" t="s">
        <v>2137</v>
      </c>
      <c r="B300" s="169" t="s">
        <v>2462</v>
      </c>
      <c r="C300" s="955" t="s">
        <v>175</v>
      </c>
      <c r="D300" s="955" t="s">
        <v>184</v>
      </c>
      <c r="E300" s="1007" t="s">
        <v>1917</v>
      </c>
      <c r="F300" s="1007"/>
      <c r="G300" s="1007" t="e">
        <f>+VLOOKUP(Data_Validation!$A300,BV_Data_An_Cour!$L:$Q,6,0)</f>
        <v>#N/A</v>
      </c>
      <c r="H300" s="165"/>
    </row>
    <row r="301" spans="1:8" ht="15" customHeight="1">
      <c r="A301" s="950" t="s">
        <v>2136</v>
      </c>
      <c r="B301" s="171" t="s">
        <v>2135</v>
      </c>
      <c r="C301" s="955" t="s">
        <v>175</v>
      </c>
      <c r="D301" s="955" t="s">
        <v>183</v>
      </c>
      <c r="E301" s="1007" t="s">
        <v>1917</v>
      </c>
      <c r="F301" s="1007"/>
      <c r="G301" s="1007" t="str">
        <f>+VLOOKUP(Data_Validation!$A301,BV_Data_An_Cour!$L:$Q,6,0)</f>
        <v>6-Coût des ventes</v>
      </c>
      <c r="H301" s="165"/>
    </row>
    <row r="302" spans="1:8" ht="15" customHeight="1">
      <c r="A302" s="950" t="s">
        <v>2781</v>
      </c>
      <c r="B302" s="171" t="s">
        <v>1523</v>
      </c>
      <c r="C302" s="955" t="s">
        <v>75</v>
      </c>
      <c r="D302" s="955" t="s">
        <v>103</v>
      </c>
      <c r="E302" s="1007" t="s">
        <v>1917</v>
      </c>
      <c r="F302" s="1007"/>
      <c r="G302" s="1007" t="str">
        <f>+VLOOKUP(Data_Validation!$A302,BV_Data_An_Cour!$L:$Q,6,0)</f>
        <v>7-Dépenses</v>
      </c>
      <c r="H302" s="165"/>
    </row>
    <row r="303" spans="1:8" ht="15" customHeight="1">
      <c r="A303" s="950" t="s">
        <v>2770</v>
      </c>
      <c r="B303" s="171" t="s">
        <v>1442</v>
      </c>
      <c r="C303" s="955" t="s">
        <v>75</v>
      </c>
      <c r="D303" s="955" t="s">
        <v>104</v>
      </c>
      <c r="E303" s="1007" t="s">
        <v>1917</v>
      </c>
      <c r="F303" s="1007"/>
      <c r="G303" s="1007" t="str">
        <f>+VLOOKUP(Data_Validation!$A303,BV_Data_An_Cour!$L:$Q,6,0)</f>
        <v>7-Dépenses</v>
      </c>
      <c r="H303" s="165"/>
    </row>
    <row r="304" spans="1:8" ht="15" customHeight="1">
      <c r="A304" s="950" t="s">
        <v>2706</v>
      </c>
      <c r="B304" s="1020" t="s">
        <v>399</v>
      </c>
      <c r="C304" s="1021" t="s">
        <v>75</v>
      </c>
      <c r="D304" s="955" t="s">
        <v>106</v>
      </c>
      <c r="E304" s="1007" t="s">
        <v>1917</v>
      </c>
      <c r="F304" s="1007"/>
      <c r="G304" s="1007" t="str">
        <f>+VLOOKUP(Data_Validation!$A304,BV_Data_An_Cour!$L:$Q,6,0)</f>
        <v>7-Dépenses</v>
      </c>
      <c r="H304" s="165"/>
    </row>
    <row r="305" spans="1:8" ht="15" customHeight="1">
      <c r="A305" s="950" t="s">
        <v>2759</v>
      </c>
      <c r="B305" s="1020" t="s">
        <v>2757</v>
      </c>
      <c r="C305" s="1021" t="s">
        <v>75</v>
      </c>
      <c r="D305" s="955" t="s">
        <v>107</v>
      </c>
      <c r="E305" s="1007" t="s">
        <v>1917</v>
      </c>
      <c r="F305" s="1007"/>
      <c r="G305" s="1007" t="str">
        <f>+VLOOKUP(Data_Validation!$A305,BV_Data_An_Cour!$L:$Q,6,0)</f>
        <v>7-Dépenses</v>
      </c>
      <c r="H305" s="165"/>
    </row>
    <row r="306" spans="1:8" ht="15" customHeight="1">
      <c r="A306" s="169" t="s">
        <v>2612</v>
      </c>
      <c r="B306" s="1025" t="s">
        <v>938</v>
      </c>
      <c r="C306" s="1021" t="s">
        <v>75</v>
      </c>
      <c r="D306" s="955" t="s">
        <v>109</v>
      </c>
      <c r="E306" s="1007" t="s">
        <v>1917</v>
      </c>
      <c r="F306" s="1007"/>
      <c r="G306" s="1007" t="str">
        <f>+VLOOKUP(Data_Validation!$A306,BV_Data_An_Cour!$L:$Q,6,0)</f>
        <v>7-Dépenses</v>
      </c>
      <c r="H306" s="165"/>
    </row>
    <row r="307" spans="1:8" ht="15" customHeight="1">
      <c r="A307" s="950" t="s">
        <v>2696</v>
      </c>
      <c r="B307" s="1020" t="s">
        <v>1407</v>
      </c>
      <c r="C307" s="1021" t="s">
        <v>75</v>
      </c>
      <c r="D307" s="955" t="s">
        <v>105</v>
      </c>
      <c r="E307" s="1007" t="s">
        <v>1917</v>
      </c>
      <c r="F307" s="1007"/>
      <c r="G307" s="1007" t="str">
        <f>+VLOOKUP(Data_Validation!$A307,BV_Data_An_Cour!$L:$Q,6,0)</f>
        <v>7-Dépenses</v>
      </c>
      <c r="H307" s="165"/>
    </row>
    <row r="308" spans="1:8" ht="15" customHeight="1">
      <c r="A308" s="169" t="s">
        <v>2113</v>
      </c>
      <c r="B308" s="1025" t="s">
        <v>1374</v>
      </c>
      <c r="C308" s="1021" t="s">
        <v>75</v>
      </c>
      <c r="D308" s="955" t="s">
        <v>108</v>
      </c>
      <c r="E308" s="1007" t="s">
        <v>1917</v>
      </c>
      <c r="F308" s="1007"/>
      <c r="G308" s="1007" t="str">
        <f>+VLOOKUP(Data_Validation!$A308,BV_Data_An_Cour!$L:$Q,6,0)</f>
        <v>7-Dépenses</v>
      </c>
      <c r="H308" s="165"/>
    </row>
    <row r="309" spans="1:8" ht="15" customHeight="1">
      <c r="A309" s="950" t="s">
        <v>2112</v>
      </c>
      <c r="B309" s="171" t="s">
        <v>2111</v>
      </c>
      <c r="C309" s="955" t="s">
        <v>75</v>
      </c>
      <c r="D309" s="955" t="s">
        <v>108</v>
      </c>
      <c r="E309" s="1007" t="s">
        <v>1917</v>
      </c>
      <c r="F309" s="1007"/>
      <c r="G309" s="1007" t="str">
        <f>+VLOOKUP(Data_Validation!$A309,BV_Data_An_Cour!$L:$Q,6,0)</f>
        <v>7-Dépenses</v>
      </c>
      <c r="H309" s="165"/>
    </row>
    <row r="310" spans="1:8" ht="15" customHeight="1">
      <c r="A310" s="950" t="s">
        <v>2648</v>
      </c>
      <c r="B310" s="171" t="s">
        <v>1259</v>
      </c>
      <c r="C310" s="955" t="s">
        <v>75</v>
      </c>
      <c r="D310" s="955" t="s">
        <v>213</v>
      </c>
      <c r="E310" s="1007" t="s">
        <v>1917</v>
      </c>
      <c r="F310" s="1007"/>
      <c r="G310" s="1007" t="str">
        <f>+VLOOKUP(Data_Validation!$A310,BV_Data_An_Cour!$L:$Q,6,0)</f>
        <v>7-Dépenses</v>
      </c>
      <c r="H310" s="165"/>
    </row>
    <row r="311" spans="1:8" ht="15" customHeight="1">
      <c r="A311" s="169" t="s">
        <v>2626</v>
      </c>
      <c r="B311" s="169" t="s">
        <v>2624</v>
      </c>
      <c r="C311" s="955" t="s">
        <v>75</v>
      </c>
      <c r="D311" s="955" t="s">
        <v>112</v>
      </c>
      <c r="E311" s="1007" t="s">
        <v>1917</v>
      </c>
      <c r="F311" s="1007"/>
      <c r="G311" s="1007" t="str">
        <f>+VLOOKUP(Data_Validation!$A311,BV_Data_An_Cour!$L:$Q,6,0)</f>
        <v>7-Dépenses</v>
      </c>
      <c r="H311" s="165"/>
    </row>
    <row r="312" spans="1:8" ht="15" customHeight="1">
      <c r="A312" s="950" t="s">
        <v>2679</v>
      </c>
      <c r="B312" s="171" t="s">
        <v>1342</v>
      </c>
      <c r="C312" s="955" t="s">
        <v>75</v>
      </c>
      <c r="D312" s="955" t="s">
        <v>113</v>
      </c>
      <c r="E312" s="1007" t="s">
        <v>1917</v>
      </c>
      <c r="F312" s="1007"/>
      <c r="G312" s="1007" t="str">
        <f>+VLOOKUP(Data_Validation!$A312,BV_Data_An_Cour!$L:$Q,6,0)</f>
        <v>7-Dépenses</v>
      </c>
      <c r="H312" s="165"/>
    </row>
    <row r="313" spans="1:8" ht="15" customHeight="1">
      <c r="A313" s="169" t="s">
        <v>2735</v>
      </c>
      <c r="B313" s="169" t="s">
        <v>1249</v>
      </c>
      <c r="C313" s="955" t="s">
        <v>75</v>
      </c>
      <c r="D313" s="955" t="s">
        <v>114</v>
      </c>
      <c r="E313" s="1007" t="s">
        <v>1917</v>
      </c>
      <c r="F313" s="1007"/>
      <c r="G313" s="1007" t="str">
        <f>+VLOOKUP(Data_Validation!$A313,BV_Data_An_Cour!$L:$Q,6,0)</f>
        <v>7-Dépenses</v>
      </c>
      <c r="H313" s="165"/>
    </row>
    <row r="314" spans="1:8" ht="15" customHeight="1">
      <c r="A314" s="167" t="s">
        <v>2641</v>
      </c>
      <c r="B314" s="171" t="s">
        <v>1445</v>
      </c>
      <c r="C314" s="955" t="s">
        <v>75</v>
      </c>
      <c r="D314" s="955" t="s">
        <v>116</v>
      </c>
      <c r="E314" s="1007" t="s">
        <v>1917</v>
      </c>
      <c r="F314" s="1007"/>
      <c r="G314" s="1007" t="str">
        <f>+VLOOKUP(Data_Validation!$A314,BV_Data_An_Cour!$L:$Q,6,0)</f>
        <v>7-Dépenses</v>
      </c>
      <c r="H314" s="165"/>
    </row>
    <row r="315" spans="1:8" ht="15" customHeight="1">
      <c r="A315" s="950" t="s">
        <v>2586</v>
      </c>
      <c r="B315" s="171" t="s">
        <v>1252</v>
      </c>
      <c r="C315" s="955" t="s">
        <v>75</v>
      </c>
      <c r="D315" s="955" t="s">
        <v>119</v>
      </c>
      <c r="E315" s="1007" t="s">
        <v>1917</v>
      </c>
      <c r="F315" s="1007"/>
      <c r="G315" s="1007" t="str">
        <f>+VLOOKUP(Data_Validation!$A315,BV_Data_An_Cour!$L:$Q,6,0)</f>
        <v>7-Dépenses</v>
      </c>
      <c r="H315" s="165"/>
    </row>
    <row r="316" spans="1:8" ht="15" customHeight="1">
      <c r="A316" s="950" t="s">
        <v>2685</v>
      </c>
      <c r="B316" s="171" t="s">
        <v>1283</v>
      </c>
      <c r="C316" s="955" t="s">
        <v>75</v>
      </c>
      <c r="D316" s="955" t="s">
        <v>117</v>
      </c>
      <c r="E316" s="1007" t="s">
        <v>1917</v>
      </c>
      <c r="F316" s="1007"/>
      <c r="G316" s="1007" t="str">
        <f>+VLOOKUP(Data_Validation!$A316,BV_Data_An_Cour!$L:$Q,6,0)</f>
        <v>7-Dépenses</v>
      </c>
      <c r="H316" s="165"/>
    </row>
    <row r="317" spans="1:8" ht="15" customHeight="1">
      <c r="A317" s="169" t="s">
        <v>2694</v>
      </c>
      <c r="B317" s="169" t="s">
        <v>1414</v>
      </c>
      <c r="C317" s="955" t="s">
        <v>75</v>
      </c>
      <c r="D317" s="955" t="s">
        <v>118</v>
      </c>
      <c r="E317" s="1007" t="s">
        <v>1917</v>
      </c>
      <c r="F317" s="1007"/>
      <c r="G317" s="1007" t="str">
        <f>+VLOOKUP(Data_Validation!$A317,BV_Data_An_Cour!$L:$Q,6,0)</f>
        <v>7-Dépenses</v>
      </c>
      <c r="H317" s="165"/>
    </row>
    <row r="318" spans="1:8" ht="15" customHeight="1">
      <c r="A318" s="169" t="s">
        <v>2563</v>
      </c>
      <c r="B318" s="169" t="s">
        <v>1157</v>
      </c>
      <c r="C318" s="955" t="s">
        <v>75</v>
      </c>
      <c r="D318" s="955" t="s">
        <v>127</v>
      </c>
      <c r="E318" s="1007" t="s">
        <v>1917</v>
      </c>
      <c r="F318" s="1007"/>
      <c r="G318" s="1007" t="str">
        <f>+VLOOKUP(Data_Validation!$A318,BV_Data_An_Cour!$L:$Q,6,0)</f>
        <v>7-Dépenses</v>
      </c>
      <c r="H318" s="165"/>
    </row>
    <row r="319" spans="1:8" ht="15" customHeight="1">
      <c r="A319" s="171" t="s">
        <v>2159</v>
      </c>
      <c r="B319" s="171" t="s">
        <v>932</v>
      </c>
      <c r="C319" s="955" t="s">
        <v>75</v>
      </c>
      <c r="D319" s="955" t="s">
        <v>128</v>
      </c>
      <c r="E319" s="1007" t="s">
        <v>1917</v>
      </c>
      <c r="F319" s="1007"/>
      <c r="G319" s="1007" t="e">
        <f>+VLOOKUP(Data_Validation!$A319,BV_Data_An_Cour!$L:$Q,6,0)</f>
        <v>#N/A</v>
      </c>
      <c r="H319" s="165"/>
    </row>
    <row r="320" spans="1:8" ht="15" customHeight="1">
      <c r="A320" s="171" t="s">
        <v>2561</v>
      </c>
      <c r="B320" s="171" t="s">
        <v>934</v>
      </c>
      <c r="C320" s="955" t="s">
        <v>75</v>
      </c>
      <c r="D320" s="955" t="s">
        <v>133</v>
      </c>
      <c r="E320" s="1007" t="s">
        <v>1917</v>
      </c>
      <c r="F320" s="1007"/>
      <c r="G320" s="1007" t="str">
        <f>+VLOOKUP(Data_Validation!$A320,BV_Data_An_Cour!$L:$Q,6,0)</f>
        <v>7-Dépenses</v>
      </c>
      <c r="H320" s="165"/>
    </row>
    <row r="321" spans="1:8" ht="15" customHeight="1">
      <c r="A321" s="950" t="s">
        <v>2632</v>
      </c>
      <c r="B321" s="171" t="s">
        <v>1186</v>
      </c>
      <c r="C321" s="955" t="s">
        <v>75</v>
      </c>
      <c r="D321" s="955" t="s">
        <v>123</v>
      </c>
      <c r="E321" s="1007" t="s">
        <v>1917</v>
      </c>
      <c r="F321" s="1007"/>
      <c r="G321" s="1007" t="str">
        <f>+VLOOKUP(Data_Validation!$A321,BV_Data_An_Cour!$L:$Q,6,0)</f>
        <v>7-Dépenses</v>
      </c>
      <c r="H321" s="165"/>
    </row>
    <row r="322" spans="1:8" ht="15" customHeight="1">
      <c r="A322" s="169" t="s">
        <v>2581</v>
      </c>
      <c r="B322" s="169" t="s">
        <v>1180</v>
      </c>
      <c r="C322" s="955" t="s">
        <v>75</v>
      </c>
      <c r="D322" s="955" t="s">
        <v>131</v>
      </c>
      <c r="E322" s="1007" t="s">
        <v>1917</v>
      </c>
      <c r="F322" s="1007"/>
      <c r="G322" s="1007" t="str">
        <f>+VLOOKUP(Data_Validation!$A322,BV_Data_An_Cour!$L:$Q,6,0)</f>
        <v>7-Dépenses</v>
      </c>
      <c r="H322" s="165"/>
    </row>
    <row r="323" spans="1:8" ht="15" customHeight="1">
      <c r="A323" s="169" t="s">
        <v>2702</v>
      </c>
      <c r="B323" s="169" t="s">
        <v>1286</v>
      </c>
      <c r="C323" s="955" t="s">
        <v>75</v>
      </c>
      <c r="D323" s="955" t="s">
        <v>124</v>
      </c>
      <c r="E323" s="1007" t="s">
        <v>1917</v>
      </c>
      <c r="F323" s="1007"/>
      <c r="G323" s="1007" t="str">
        <f>+VLOOKUP(Data_Validation!$A323,BV_Data_An_Cour!$L:$Q,6,0)</f>
        <v>7-Dépenses</v>
      </c>
      <c r="H323" s="165"/>
    </row>
    <row r="324" spans="1:8" ht="15" customHeight="1">
      <c r="A324" s="168" t="s">
        <v>2588</v>
      </c>
      <c r="B324" s="169" t="s">
        <v>1206</v>
      </c>
      <c r="C324" s="955" t="s">
        <v>75</v>
      </c>
      <c r="D324" s="955" t="s">
        <v>129</v>
      </c>
      <c r="E324" s="1007" t="s">
        <v>1917</v>
      </c>
      <c r="F324" s="1007"/>
      <c r="G324" s="1007" t="str">
        <f>+VLOOKUP(Data_Validation!$A324,BV_Data_An_Cour!$L:$Q,6,0)</f>
        <v>7-Dépenses</v>
      </c>
      <c r="H324" s="165"/>
    </row>
    <row r="325" spans="1:8" ht="15" customHeight="1">
      <c r="A325" s="169" t="s">
        <v>2592</v>
      </c>
      <c r="B325" s="169" t="s">
        <v>1154</v>
      </c>
      <c r="C325" s="955" t="s">
        <v>75</v>
      </c>
      <c r="D325" s="955" t="s">
        <v>130</v>
      </c>
      <c r="E325" s="1007" t="s">
        <v>1917</v>
      </c>
      <c r="F325" s="1007"/>
      <c r="G325" s="1007" t="str">
        <f>+VLOOKUP(Data_Validation!$A325,BV_Data_An_Cour!$L:$Q,6,0)</f>
        <v>7-Dépenses</v>
      </c>
      <c r="H325" s="165"/>
    </row>
    <row r="326" spans="1:8" ht="15" customHeight="1">
      <c r="A326" s="168" t="s">
        <v>2637</v>
      </c>
      <c r="B326" s="169" t="s">
        <v>1237</v>
      </c>
      <c r="C326" s="955" t="s">
        <v>75</v>
      </c>
      <c r="D326" s="955" t="s">
        <v>132</v>
      </c>
      <c r="E326" s="1007" t="s">
        <v>1917</v>
      </c>
      <c r="F326" s="1007"/>
      <c r="G326" s="1007" t="str">
        <f>+VLOOKUP(Data_Validation!$A326,BV_Data_An_Cour!$L:$Q,6,0)</f>
        <v>7-Dépenses</v>
      </c>
      <c r="H326" s="165"/>
    </row>
    <row r="327" spans="1:8" ht="15" customHeight="1">
      <c r="A327" s="169" t="s">
        <v>2470</v>
      </c>
      <c r="B327" s="169" t="s">
        <v>1315</v>
      </c>
      <c r="C327" s="955" t="s">
        <v>75</v>
      </c>
      <c r="D327" s="955" t="s">
        <v>125</v>
      </c>
      <c r="E327" s="1007" t="s">
        <v>1917</v>
      </c>
      <c r="F327" s="1007"/>
      <c r="G327" s="1007" t="str">
        <f>+VLOOKUP(Data_Validation!$A327,BV_Data_An_Cour!$L:$Q,6,0)</f>
        <v>7-Dépenses</v>
      </c>
      <c r="H327" s="165"/>
    </row>
    <row r="328" spans="1:8" ht="15" customHeight="1">
      <c r="A328" s="167" t="s">
        <v>2662</v>
      </c>
      <c r="B328" s="171" t="s">
        <v>1308</v>
      </c>
      <c r="C328" s="955" t="s">
        <v>75</v>
      </c>
      <c r="D328" s="955" t="s">
        <v>126</v>
      </c>
      <c r="E328" s="1007" t="s">
        <v>1917</v>
      </c>
      <c r="F328" s="1007"/>
      <c r="G328" s="1007" t="str">
        <f>+VLOOKUP(Data_Validation!$A328,BV_Data_An_Cour!$L:$Q,6,0)</f>
        <v>7-Dépenses</v>
      </c>
      <c r="H328" s="165"/>
    </row>
    <row r="329" spans="1:8" ht="15" customHeight="1">
      <c r="A329" s="950" t="s">
        <v>2653</v>
      </c>
      <c r="B329" s="171" t="s">
        <v>1333</v>
      </c>
      <c r="C329" s="955" t="s">
        <v>75</v>
      </c>
      <c r="D329" s="955" t="s">
        <v>260</v>
      </c>
      <c r="E329" s="1007" t="s">
        <v>1917</v>
      </c>
      <c r="F329" s="1007"/>
      <c r="G329" s="1007" t="str">
        <f>+VLOOKUP(Data_Validation!$A329,BV_Data_An_Cour!$L:$Q,6,0)</f>
        <v>7-Dépenses</v>
      </c>
      <c r="H329" s="165"/>
    </row>
    <row r="330" spans="1:8" ht="15" customHeight="1">
      <c r="A330" s="950" t="s">
        <v>2463</v>
      </c>
      <c r="B330" s="171" t="s">
        <v>936</v>
      </c>
      <c r="C330" s="955" t="s">
        <v>75</v>
      </c>
      <c r="D330" s="955" t="s">
        <v>250</v>
      </c>
      <c r="E330" s="1007" t="s">
        <v>1917</v>
      </c>
      <c r="F330" s="1007"/>
      <c r="G330" s="1007" t="e">
        <f>+VLOOKUP(Data_Validation!$A330,BV_Data_An_Cour!$L:$Q,6,0)</f>
        <v>#N/A</v>
      </c>
      <c r="H330" s="165"/>
    </row>
    <row r="331" spans="1:8" ht="15" customHeight="1">
      <c r="A331" s="950" t="s">
        <v>2604</v>
      </c>
      <c r="B331" s="171" t="s">
        <v>1332</v>
      </c>
      <c r="C331" s="955" t="s">
        <v>75</v>
      </c>
      <c r="D331" s="955" t="s">
        <v>244</v>
      </c>
      <c r="E331" s="1007" t="s">
        <v>1917</v>
      </c>
      <c r="F331" s="1007"/>
      <c r="G331" s="1007" t="str">
        <f>+VLOOKUP(Data_Validation!$A331,BV_Data_An_Cour!$L:$Q,6,0)</f>
        <v>7-Dépenses</v>
      </c>
      <c r="H331" s="165"/>
    </row>
    <row r="332" spans="1:8" ht="15" customHeight="1">
      <c r="A332" s="169" t="s">
        <v>2709</v>
      </c>
      <c r="B332" s="169" t="s">
        <v>1469</v>
      </c>
      <c r="C332" s="955" t="s">
        <v>75</v>
      </c>
      <c r="D332" s="955" t="s">
        <v>235</v>
      </c>
      <c r="E332" s="1007" t="s">
        <v>1917</v>
      </c>
      <c r="F332" s="1007"/>
      <c r="G332" s="1007" t="str">
        <f>+VLOOKUP(Data_Validation!$A332,BV_Data_An_Cour!$L:$Q,6,0)</f>
        <v>7-Dépenses</v>
      </c>
      <c r="H332" s="165"/>
    </row>
    <row r="333" spans="1:8" ht="15" customHeight="1">
      <c r="A333" s="950" t="s">
        <v>2594</v>
      </c>
      <c r="B333" s="171" t="s">
        <v>1366</v>
      </c>
      <c r="C333" s="955" t="s">
        <v>75</v>
      </c>
      <c r="D333" s="955" t="s">
        <v>242</v>
      </c>
      <c r="E333" s="1007" t="s">
        <v>1917</v>
      </c>
      <c r="F333" s="1007"/>
      <c r="G333" s="1007" t="str">
        <f>+VLOOKUP(Data_Validation!$A333,BV_Data_An_Cour!$L:$Q,6,0)</f>
        <v>7-Dépenses</v>
      </c>
      <c r="H333" s="165"/>
    </row>
    <row r="334" spans="1:8" ht="15" customHeight="1">
      <c r="A334" s="169" t="s">
        <v>2614</v>
      </c>
      <c r="B334" s="169" t="s">
        <v>1362</v>
      </c>
      <c r="C334" s="955" t="s">
        <v>75</v>
      </c>
      <c r="D334" s="955" t="s">
        <v>237</v>
      </c>
      <c r="E334" s="1007" t="s">
        <v>1917</v>
      </c>
      <c r="F334" s="1007"/>
      <c r="G334" s="1007" t="str">
        <f>+VLOOKUP(Data_Validation!$A334,BV_Data_An_Cour!$L:$Q,6,0)</f>
        <v>7-Dépenses</v>
      </c>
      <c r="H334" s="165"/>
    </row>
    <row r="335" spans="1:8" ht="15" customHeight="1">
      <c r="A335" s="168" t="s">
        <v>2597</v>
      </c>
      <c r="B335" s="169" t="s">
        <v>1296</v>
      </c>
      <c r="C335" s="955" t="s">
        <v>75</v>
      </c>
      <c r="D335" s="955" t="s">
        <v>239</v>
      </c>
      <c r="E335" s="1007" t="s">
        <v>1917</v>
      </c>
      <c r="F335" s="1007"/>
      <c r="G335" s="1007" t="str">
        <f>+VLOOKUP(Data_Validation!$A335,BV_Data_An_Cour!$L:$Q,6,0)</f>
        <v>7-Dépenses</v>
      </c>
      <c r="H335" s="165"/>
    </row>
    <row r="336" spans="1:8" ht="15" customHeight="1">
      <c r="A336" s="169" t="s">
        <v>2635</v>
      </c>
      <c r="B336" s="169" t="s">
        <v>1395</v>
      </c>
      <c r="C336" s="955" t="s">
        <v>75</v>
      </c>
      <c r="D336" s="955" t="s">
        <v>246</v>
      </c>
      <c r="E336" s="1007" t="s">
        <v>1917</v>
      </c>
      <c r="F336" s="1007"/>
      <c r="G336" s="1007" t="str">
        <f>+VLOOKUP(Data_Validation!$A336,BV_Data_An_Cour!$L:$Q,6,0)</f>
        <v>7-Dépenses</v>
      </c>
      <c r="H336" s="165"/>
    </row>
    <row r="337" spans="1:8" ht="15" customHeight="1">
      <c r="A337" s="167" t="s">
        <v>2780</v>
      </c>
      <c r="B337" s="166" t="s">
        <v>1483</v>
      </c>
      <c r="C337" s="955" t="s">
        <v>144</v>
      </c>
      <c r="D337" s="955" t="s">
        <v>103</v>
      </c>
      <c r="E337" s="1007" t="s">
        <v>1917</v>
      </c>
      <c r="F337" s="1007"/>
      <c r="G337" s="1007" t="str">
        <f>+VLOOKUP(Data_Validation!$A337,BV_Data_An_Cour!$L:$Q,6,0)</f>
        <v>7-Dépenses</v>
      </c>
      <c r="H337" s="165"/>
    </row>
    <row r="338" spans="1:8" ht="15" customHeight="1">
      <c r="A338" s="167" t="s">
        <v>2769</v>
      </c>
      <c r="B338" s="166" t="s">
        <v>1442</v>
      </c>
      <c r="C338" s="955" t="s">
        <v>144</v>
      </c>
      <c r="D338" s="955" t="s">
        <v>104</v>
      </c>
      <c r="E338" s="1007" t="s">
        <v>1917</v>
      </c>
      <c r="F338" s="1007"/>
      <c r="G338" s="1007" t="str">
        <f>+VLOOKUP(Data_Validation!$A338,BV_Data_An_Cour!$L:$Q,6,0)</f>
        <v>7-Dépenses</v>
      </c>
      <c r="H338" s="165"/>
    </row>
    <row r="339" spans="1:8" ht="15" customHeight="1">
      <c r="A339" s="169" t="s">
        <v>2751</v>
      </c>
      <c r="B339" s="169" t="s">
        <v>1230</v>
      </c>
      <c r="C339" s="955" t="s">
        <v>144</v>
      </c>
      <c r="D339" s="955" t="s">
        <v>106</v>
      </c>
      <c r="E339" s="1007" t="s">
        <v>1917</v>
      </c>
      <c r="F339" s="1007"/>
      <c r="G339" s="1007" t="str">
        <f>+VLOOKUP(Data_Validation!$A339,BV_Data_An_Cour!$L:$Q,6,0)</f>
        <v>7-Dépenses</v>
      </c>
      <c r="H339" s="165"/>
    </row>
    <row r="340" spans="1:8" ht="15" customHeight="1">
      <c r="A340" s="167" t="s">
        <v>2758</v>
      </c>
      <c r="B340" s="166" t="s">
        <v>2757</v>
      </c>
      <c r="C340" s="955" t="s">
        <v>144</v>
      </c>
      <c r="D340" s="955" t="s">
        <v>107</v>
      </c>
      <c r="E340" s="1007" t="s">
        <v>1917</v>
      </c>
      <c r="F340" s="1007"/>
      <c r="G340" s="1007" t="str">
        <f>+VLOOKUP(Data_Validation!$A340,BV_Data_An_Cour!$L:$Q,6,0)</f>
        <v>7-Dépenses</v>
      </c>
      <c r="H340" s="165"/>
    </row>
    <row r="341" spans="1:8" ht="15" customHeight="1">
      <c r="A341" s="169" t="s">
        <v>2611</v>
      </c>
      <c r="B341" s="169" t="s">
        <v>938</v>
      </c>
      <c r="C341" s="955" t="s">
        <v>144</v>
      </c>
      <c r="D341" s="955" t="s">
        <v>109</v>
      </c>
      <c r="E341" s="1007" t="s">
        <v>1917</v>
      </c>
      <c r="F341" s="1007"/>
      <c r="G341" s="1007" t="str">
        <f>+VLOOKUP(Data_Validation!$A341,BV_Data_An_Cour!$L:$Q,6,0)</f>
        <v>7-Dépenses</v>
      </c>
      <c r="H341" s="165"/>
    </row>
    <row r="342" spans="1:8" ht="15" customHeight="1">
      <c r="A342" s="167" t="s">
        <v>2695</v>
      </c>
      <c r="B342" s="166" t="s">
        <v>1407</v>
      </c>
      <c r="C342" s="955" t="s">
        <v>144</v>
      </c>
      <c r="D342" s="955" t="s">
        <v>105</v>
      </c>
      <c r="E342" s="1007" t="s">
        <v>1917</v>
      </c>
      <c r="F342" s="1007"/>
      <c r="G342" s="1007" t="str">
        <f>+VLOOKUP(Data_Validation!$A342,BV_Data_An_Cour!$L:$Q,6,0)</f>
        <v>7-Dépenses</v>
      </c>
      <c r="H342" s="165"/>
    </row>
    <row r="343" spans="1:8" ht="15" customHeight="1">
      <c r="A343" s="167" t="s">
        <v>2774</v>
      </c>
      <c r="B343" s="166" t="s">
        <v>1374</v>
      </c>
      <c r="C343" s="955" t="s">
        <v>144</v>
      </c>
      <c r="D343" s="955" t="s">
        <v>108</v>
      </c>
      <c r="E343" s="1007" t="s">
        <v>1917</v>
      </c>
      <c r="F343" s="1007"/>
      <c r="G343" s="1007" t="str">
        <f>+VLOOKUP(Data_Validation!$A343,BV_Data_An_Cour!$L:$Q,6,0)</f>
        <v>7-Dépenses</v>
      </c>
      <c r="H343" s="165"/>
    </row>
    <row r="344" spans="1:8" ht="15" customHeight="1">
      <c r="A344" s="169" t="s">
        <v>2149</v>
      </c>
      <c r="B344" s="169" t="s">
        <v>2148</v>
      </c>
      <c r="C344" s="955" t="s">
        <v>144</v>
      </c>
      <c r="D344" s="955" t="s">
        <v>108</v>
      </c>
      <c r="E344" s="1007" t="s">
        <v>1917</v>
      </c>
      <c r="F344" s="1007"/>
      <c r="G344" s="1007" t="str">
        <f>+VLOOKUP(Data_Validation!$A344,BV_Data_An_Cour!$L:$Q,6,0)</f>
        <v>7-Dépenses</v>
      </c>
      <c r="H344" s="165"/>
    </row>
    <row r="345" spans="1:8" ht="15" customHeight="1">
      <c r="A345" s="166" t="s">
        <v>2674</v>
      </c>
      <c r="B345" s="166" t="s">
        <v>1259</v>
      </c>
      <c r="C345" s="955" t="s">
        <v>144</v>
      </c>
      <c r="D345" s="955" t="s">
        <v>213</v>
      </c>
      <c r="E345" s="1007" t="s">
        <v>1917</v>
      </c>
      <c r="F345" s="1007"/>
      <c r="G345" s="1007" t="str">
        <f>+VLOOKUP(Data_Validation!$A345,BV_Data_An_Cour!$L:$Q,6,0)</f>
        <v>7-Dépenses</v>
      </c>
      <c r="H345" s="165"/>
    </row>
    <row r="346" spans="1:8" ht="15" customHeight="1">
      <c r="A346" s="167" t="s">
        <v>2748</v>
      </c>
      <c r="B346" s="166" t="s">
        <v>2624</v>
      </c>
      <c r="C346" s="955" t="s">
        <v>144</v>
      </c>
      <c r="D346" s="955" t="s">
        <v>112</v>
      </c>
      <c r="E346" s="1007" t="s">
        <v>1917</v>
      </c>
      <c r="F346" s="1007"/>
      <c r="G346" s="1007" t="str">
        <f>+VLOOKUP(Data_Validation!$A346,BV_Data_An_Cour!$L:$Q,6,0)</f>
        <v>7-Dépenses</v>
      </c>
    </row>
    <row r="347" spans="1:8" ht="15" customHeight="1">
      <c r="A347" s="167" t="s">
        <v>2707</v>
      </c>
      <c r="B347" s="166" t="s">
        <v>1342</v>
      </c>
      <c r="C347" s="955" t="s">
        <v>144</v>
      </c>
      <c r="D347" s="955" t="s">
        <v>113</v>
      </c>
      <c r="E347" s="1007" t="s">
        <v>1917</v>
      </c>
      <c r="F347" s="1007"/>
      <c r="G347" s="1007" t="str">
        <f>+VLOOKUP(Data_Validation!$A347,BV_Data_An_Cour!$L:$Q,6,0)</f>
        <v>7-Dépenses</v>
      </c>
    </row>
    <row r="348" spans="1:8" ht="15" customHeight="1">
      <c r="A348" s="167" t="s">
        <v>2776</v>
      </c>
      <c r="B348" s="166" t="s">
        <v>1412</v>
      </c>
      <c r="C348" s="955" t="s">
        <v>144</v>
      </c>
      <c r="D348" s="955" t="s">
        <v>114</v>
      </c>
      <c r="E348" s="1007" t="s">
        <v>1917</v>
      </c>
      <c r="F348" s="1007"/>
      <c r="G348" s="1007" t="str">
        <f>+VLOOKUP(Data_Validation!$A348,BV_Data_An_Cour!$L:$Q,6,0)</f>
        <v>7-Dépenses</v>
      </c>
      <c r="H348" s="165"/>
    </row>
    <row r="349" spans="1:8" ht="15" customHeight="1">
      <c r="A349" s="167" t="s">
        <v>2712</v>
      </c>
      <c r="B349" s="166" t="s">
        <v>1211</v>
      </c>
      <c r="C349" s="955" t="s">
        <v>144</v>
      </c>
      <c r="D349" s="955" t="s">
        <v>116</v>
      </c>
      <c r="E349" s="1007" t="s">
        <v>1917</v>
      </c>
      <c r="F349" s="1007"/>
      <c r="G349" s="1007" t="str">
        <f>+VLOOKUP(Data_Validation!$A349,BV_Data_An_Cour!$L:$Q,6,0)</f>
        <v>7-Dépenses</v>
      </c>
      <c r="H349" s="165"/>
    </row>
    <row r="350" spans="1:8" ht="15" customHeight="1">
      <c r="A350" s="167" t="s">
        <v>2697</v>
      </c>
      <c r="B350" s="166" t="s">
        <v>1252</v>
      </c>
      <c r="C350" s="955" t="s">
        <v>144</v>
      </c>
      <c r="D350" s="955" t="s">
        <v>119</v>
      </c>
      <c r="E350" s="1007" t="s">
        <v>1917</v>
      </c>
      <c r="F350" s="1007"/>
      <c r="G350" s="1007" t="str">
        <f>+VLOOKUP(Data_Validation!$A350,BV_Data_An_Cour!$L:$Q,6,0)</f>
        <v>7-Dépenses</v>
      </c>
      <c r="H350" s="165"/>
    </row>
    <row r="351" spans="1:8" ht="15" customHeight="1">
      <c r="A351" s="167" t="s">
        <v>2717</v>
      </c>
      <c r="B351" s="166" t="s">
        <v>1283</v>
      </c>
      <c r="C351" s="955" t="s">
        <v>144</v>
      </c>
      <c r="D351" s="955" t="s">
        <v>117</v>
      </c>
      <c r="E351" s="1007" t="s">
        <v>1917</v>
      </c>
      <c r="F351" s="1007"/>
      <c r="G351" s="1007" t="str">
        <f>+VLOOKUP(Data_Validation!$A351,BV_Data_An_Cour!$L:$Q,6,0)</f>
        <v>7-Dépenses</v>
      </c>
      <c r="H351" s="165"/>
    </row>
    <row r="352" spans="1:8" ht="15" customHeight="1">
      <c r="A352" s="167" t="s">
        <v>2719</v>
      </c>
      <c r="B352" s="166" t="s">
        <v>1305</v>
      </c>
      <c r="C352" s="955" t="s">
        <v>144</v>
      </c>
      <c r="D352" s="955" t="s">
        <v>118</v>
      </c>
      <c r="E352" s="1007" t="s">
        <v>1917</v>
      </c>
      <c r="F352" s="1007"/>
      <c r="G352" s="1007" t="str">
        <f>+VLOOKUP(Data_Validation!$A352,BV_Data_An_Cour!$L:$Q,6,0)</f>
        <v>7-Dépenses</v>
      </c>
      <c r="H352" s="165"/>
    </row>
    <row r="353" spans="1:8" ht="15" customHeight="1">
      <c r="A353" s="167" t="s">
        <v>2565</v>
      </c>
      <c r="B353" s="166" t="s">
        <v>1157</v>
      </c>
      <c r="C353" s="955" t="s">
        <v>144</v>
      </c>
      <c r="D353" s="955" t="s">
        <v>127</v>
      </c>
      <c r="E353" s="1007" t="s">
        <v>1917</v>
      </c>
      <c r="F353" s="1007"/>
      <c r="G353" s="1007" t="str">
        <f>+VLOOKUP(Data_Validation!$A353,BV_Data_An_Cour!$L:$Q,6,0)</f>
        <v>7-Dépenses</v>
      </c>
      <c r="H353" s="165"/>
    </row>
    <row r="354" spans="1:8" ht="15" customHeight="1">
      <c r="A354" s="167" t="s">
        <v>2464</v>
      </c>
      <c r="B354" s="166" t="s">
        <v>932</v>
      </c>
      <c r="C354" s="955" t="s">
        <v>144</v>
      </c>
      <c r="D354" s="955" t="s">
        <v>128</v>
      </c>
      <c r="E354" s="1007" t="s">
        <v>1917</v>
      </c>
      <c r="F354" s="1007"/>
      <c r="G354" s="1007" t="e">
        <f>+VLOOKUP(Data_Validation!$A354,BV_Data_An_Cour!$L:$Q,6,0)</f>
        <v>#N/A</v>
      </c>
      <c r="H354" s="165"/>
    </row>
    <row r="355" spans="1:8" ht="15" customHeight="1">
      <c r="A355" s="169" t="s">
        <v>2564</v>
      </c>
      <c r="B355" s="169" t="s">
        <v>934</v>
      </c>
      <c r="C355" s="955" t="s">
        <v>144</v>
      </c>
      <c r="D355" s="955" t="s">
        <v>133</v>
      </c>
      <c r="E355" s="1007" t="s">
        <v>1917</v>
      </c>
      <c r="F355" s="1007"/>
      <c r="G355" s="1007" t="str">
        <f>+VLOOKUP(Data_Validation!$A355,BV_Data_An_Cour!$L:$Q,6,0)</f>
        <v>7-Dépenses</v>
      </c>
      <c r="H355" s="165"/>
    </row>
    <row r="356" spans="1:8" ht="15" customHeight="1">
      <c r="A356" s="167" t="s">
        <v>2649</v>
      </c>
      <c r="B356" s="166" t="s">
        <v>1186</v>
      </c>
      <c r="C356" s="955" t="s">
        <v>144</v>
      </c>
      <c r="D356" s="955" t="s">
        <v>123</v>
      </c>
      <c r="E356" s="1007" t="s">
        <v>1917</v>
      </c>
      <c r="F356" s="1007"/>
      <c r="G356" s="1007" t="str">
        <f>+VLOOKUP(Data_Validation!$A356,BV_Data_An_Cour!$L:$Q,6,0)</f>
        <v>7-Dépenses</v>
      </c>
      <c r="H356" s="165"/>
    </row>
    <row r="357" spans="1:8" ht="15" customHeight="1">
      <c r="A357" s="169" t="s">
        <v>2584</v>
      </c>
      <c r="B357" s="169" t="s">
        <v>1180</v>
      </c>
      <c r="C357" s="955" t="s">
        <v>144</v>
      </c>
      <c r="D357" s="955" t="s">
        <v>131</v>
      </c>
      <c r="E357" s="1007" t="s">
        <v>1917</v>
      </c>
      <c r="F357" s="1010"/>
      <c r="G357" s="1010" t="str">
        <f>+VLOOKUP(Data_Validation!$A357,BV_Data_An_Cour!$L:$Q,6,0)</f>
        <v>7-Dépenses</v>
      </c>
      <c r="H357" s="165"/>
    </row>
    <row r="358" spans="1:8" ht="15" customHeight="1">
      <c r="A358" s="167" t="s">
        <v>2723</v>
      </c>
      <c r="B358" s="166" t="s">
        <v>1286</v>
      </c>
      <c r="C358" s="955" t="s">
        <v>144</v>
      </c>
      <c r="D358" s="955" t="s">
        <v>124</v>
      </c>
      <c r="E358" s="1007" t="s">
        <v>1917</v>
      </c>
      <c r="F358" s="1007"/>
      <c r="G358" s="1007" t="str">
        <f>+VLOOKUP(Data_Validation!$A358,BV_Data_An_Cour!$L:$Q,6,0)</f>
        <v>7-Dépenses</v>
      </c>
      <c r="H358" s="165"/>
    </row>
    <row r="359" spans="1:8" ht="15" customHeight="1">
      <c r="A359" s="169" t="s">
        <v>2602</v>
      </c>
      <c r="B359" s="169" t="s">
        <v>1206</v>
      </c>
      <c r="C359" s="955" t="s">
        <v>144</v>
      </c>
      <c r="D359" s="955" t="s">
        <v>129</v>
      </c>
      <c r="E359" s="1007" t="s">
        <v>1917</v>
      </c>
      <c r="F359" s="1007"/>
      <c r="G359" s="1007" t="str">
        <f>+VLOOKUP(Data_Validation!$A359,BV_Data_An_Cour!$L:$Q,6,0)</f>
        <v>7-Dépenses</v>
      </c>
      <c r="H359" s="165"/>
    </row>
    <row r="360" spans="1:8" ht="15" customHeight="1">
      <c r="A360" s="167" t="s">
        <v>2595</v>
      </c>
      <c r="B360" s="166" t="s">
        <v>1154</v>
      </c>
      <c r="C360" s="955" t="s">
        <v>144</v>
      </c>
      <c r="D360" s="955" t="s">
        <v>130</v>
      </c>
      <c r="E360" s="1007" t="s">
        <v>1917</v>
      </c>
      <c r="F360" s="1007"/>
      <c r="G360" s="1007" t="str">
        <f>+VLOOKUP(Data_Validation!$A360,BV_Data_An_Cour!$L:$Q,6,0)</f>
        <v>7-Dépenses</v>
      </c>
      <c r="H360" s="165"/>
    </row>
    <row r="361" spans="1:8" ht="15" customHeight="1">
      <c r="A361" s="168" t="s">
        <v>2666</v>
      </c>
      <c r="B361" s="169" t="s">
        <v>1237</v>
      </c>
      <c r="C361" s="955" t="s">
        <v>144</v>
      </c>
      <c r="D361" s="955" t="s">
        <v>132</v>
      </c>
      <c r="E361" s="1007" t="s">
        <v>1917</v>
      </c>
      <c r="F361" s="1007"/>
      <c r="G361" s="1007" t="str">
        <f>+VLOOKUP(Data_Validation!$A361,BV_Data_An_Cour!$L:$Q,6,0)</f>
        <v>7-Dépenses</v>
      </c>
      <c r="H361" s="165"/>
    </row>
    <row r="362" spans="1:8" ht="15" customHeight="1">
      <c r="A362" s="167" t="s">
        <v>2676</v>
      </c>
      <c r="B362" s="166" t="s">
        <v>1247</v>
      </c>
      <c r="C362" s="955" t="s">
        <v>144</v>
      </c>
      <c r="D362" s="955" t="s">
        <v>125</v>
      </c>
      <c r="E362" s="1007" t="s">
        <v>1917</v>
      </c>
      <c r="F362" s="1007"/>
      <c r="G362" s="1007" t="str">
        <f>+VLOOKUP(Data_Validation!$A362,BV_Data_An_Cour!$L:$Q,6,0)</f>
        <v>7-Dépenses</v>
      </c>
      <c r="H362" s="165"/>
    </row>
    <row r="363" spans="1:8" ht="15" customHeight="1">
      <c r="A363" s="168" t="s">
        <v>2698</v>
      </c>
      <c r="B363" s="169" t="s">
        <v>1308</v>
      </c>
      <c r="C363" s="955" t="s">
        <v>144</v>
      </c>
      <c r="D363" s="955" t="s">
        <v>126</v>
      </c>
      <c r="E363" s="1007" t="s">
        <v>1917</v>
      </c>
      <c r="F363" s="1010"/>
      <c r="G363" s="1010" t="str">
        <f>+VLOOKUP(Data_Validation!$A363,BV_Data_An_Cour!$L:$Q,6,0)</f>
        <v>7-Dépenses</v>
      </c>
      <c r="H363" s="165"/>
    </row>
    <row r="364" spans="1:8" ht="15" customHeight="1">
      <c r="A364" s="167" t="s">
        <v>2680</v>
      </c>
      <c r="B364" s="166" t="s">
        <v>1333</v>
      </c>
      <c r="C364" s="955" t="s">
        <v>144</v>
      </c>
      <c r="D364" s="955" t="s">
        <v>260</v>
      </c>
      <c r="E364" s="1007" t="s">
        <v>1917</v>
      </c>
      <c r="F364" s="1007"/>
      <c r="G364" s="1007" t="str">
        <f>+VLOOKUP(Data_Validation!$A364,BV_Data_An_Cour!$L:$Q,6,0)</f>
        <v>7-Dépenses</v>
      </c>
      <c r="H364" s="165"/>
    </row>
    <row r="365" spans="1:8" ht="15" customHeight="1">
      <c r="A365" s="167" t="s">
        <v>2465</v>
      </c>
      <c r="B365" s="166" t="s">
        <v>936</v>
      </c>
      <c r="C365" s="955" t="s">
        <v>144</v>
      </c>
      <c r="D365" s="955" t="s">
        <v>250</v>
      </c>
      <c r="E365" s="1007" t="s">
        <v>1917</v>
      </c>
      <c r="F365" s="1007"/>
      <c r="G365" s="1007" t="e">
        <f>+VLOOKUP(Data_Validation!$A365,BV_Data_An_Cour!$L:$Q,6,0)</f>
        <v>#N/A</v>
      </c>
      <c r="H365" s="165"/>
    </row>
    <row r="366" spans="1:8" ht="15" customHeight="1">
      <c r="A366" s="168" t="s">
        <v>2633</v>
      </c>
      <c r="B366" s="169" t="s">
        <v>1380</v>
      </c>
      <c r="C366" s="955" t="s">
        <v>144</v>
      </c>
      <c r="D366" s="955" t="s">
        <v>244</v>
      </c>
      <c r="E366" s="1007" t="s">
        <v>1917</v>
      </c>
      <c r="F366" s="1007"/>
      <c r="G366" s="1007" t="str">
        <f>+VLOOKUP(Data_Validation!$A366,BV_Data_An_Cour!$L:$Q,6,0)</f>
        <v>7-Dépenses</v>
      </c>
      <c r="H366" s="165"/>
    </row>
    <row r="367" spans="1:8" ht="15" customHeight="1">
      <c r="A367" s="167" t="s">
        <v>2724</v>
      </c>
      <c r="B367" s="166" t="s">
        <v>1462</v>
      </c>
      <c r="C367" s="955" t="s">
        <v>144</v>
      </c>
      <c r="D367" s="955" t="s">
        <v>235</v>
      </c>
      <c r="E367" s="1007" t="s">
        <v>1917</v>
      </c>
      <c r="F367" s="1007"/>
      <c r="G367" s="1007" t="str">
        <f>+VLOOKUP(Data_Validation!$A367,BV_Data_An_Cour!$L:$Q,6,0)</f>
        <v>7-Dépenses</v>
      </c>
      <c r="H367" s="165"/>
    </row>
    <row r="368" spans="1:8" ht="15" customHeight="1">
      <c r="A368" s="167" t="s">
        <v>2615</v>
      </c>
      <c r="B368" s="166" t="s">
        <v>1290</v>
      </c>
      <c r="C368" s="955" t="s">
        <v>144</v>
      </c>
      <c r="D368" s="955" t="s">
        <v>242</v>
      </c>
      <c r="E368" s="1007" t="s">
        <v>1917</v>
      </c>
      <c r="F368" s="1007"/>
      <c r="G368" s="1007" t="str">
        <f>+VLOOKUP(Data_Validation!$A368,BV_Data_An_Cour!$L:$Q,6,0)</f>
        <v>7-Dépenses</v>
      </c>
      <c r="H368" s="165"/>
    </row>
    <row r="369" spans="1:12" ht="15" customHeight="1">
      <c r="A369" s="168" t="s">
        <v>2651</v>
      </c>
      <c r="B369" s="169" t="s">
        <v>1203</v>
      </c>
      <c r="C369" s="955" t="s">
        <v>144</v>
      </c>
      <c r="D369" s="955" t="s">
        <v>237</v>
      </c>
      <c r="E369" s="1007" t="s">
        <v>1917</v>
      </c>
      <c r="F369" s="1007"/>
      <c r="G369" s="1007" t="str">
        <f>+VLOOKUP(Data_Validation!$A369,BV_Data_An_Cour!$L:$Q,6,0)</f>
        <v>7-Dépenses</v>
      </c>
      <c r="H369" s="165"/>
    </row>
    <row r="370" spans="1:12" ht="15" customHeight="1">
      <c r="A370" s="167" t="s">
        <v>2620</v>
      </c>
      <c r="B370" s="166" t="s">
        <v>1393</v>
      </c>
      <c r="C370" s="955" t="s">
        <v>144</v>
      </c>
      <c r="D370" s="955" t="s">
        <v>239</v>
      </c>
      <c r="E370" s="1007" t="s">
        <v>1917</v>
      </c>
      <c r="F370" s="1007"/>
      <c r="G370" s="1007" t="str">
        <f>+VLOOKUP(Data_Validation!$A370,BV_Data_An_Cour!$L:$Q,6,0)</f>
        <v>7-Dépenses</v>
      </c>
      <c r="H370" s="165"/>
    </row>
    <row r="371" spans="1:12" ht="15" customHeight="1">
      <c r="A371" s="168" t="s">
        <v>2664</v>
      </c>
      <c r="B371" s="169" t="s">
        <v>1318</v>
      </c>
      <c r="C371" s="955" t="s">
        <v>144</v>
      </c>
      <c r="D371" s="955" t="s">
        <v>246</v>
      </c>
      <c r="E371" s="1007" t="s">
        <v>1917</v>
      </c>
      <c r="F371" s="1007"/>
      <c r="G371" s="1007" t="str">
        <f>+VLOOKUP(Data_Validation!$A371,BV_Data_An_Cour!$L:$Q,6,0)</f>
        <v>7-Dépenses</v>
      </c>
      <c r="H371" s="165"/>
    </row>
    <row r="372" spans="1:12" ht="15" customHeight="1">
      <c r="A372" s="167" t="s">
        <v>2743</v>
      </c>
      <c r="B372" s="166" t="s">
        <v>1403</v>
      </c>
      <c r="C372" s="955" t="s">
        <v>155</v>
      </c>
      <c r="D372" s="955" t="s">
        <v>122</v>
      </c>
      <c r="E372" s="1007" t="s">
        <v>1917</v>
      </c>
      <c r="F372" s="1007"/>
      <c r="G372" s="1007" t="str">
        <f>+VLOOKUP(Data_Validation!$A372,BV_Data_An_Cour!$L:$Q,6,0)</f>
        <v>7-Dépenses</v>
      </c>
      <c r="H372" s="165"/>
    </row>
    <row r="373" spans="1:12" ht="15" customHeight="1">
      <c r="A373" s="169" t="s">
        <v>2677</v>
      </c>
      <c r="B373" s="169" t="s">
        <v>1450</v>
      </c>
      <c r="C373" s="955" t="s">
        <v>155</v>
      </c>
      <c r="D373" s="955" t="s">
        <v>122</v>
      </c>
      <c r="E373" s="1007" t="s">
        <v>1917</v>
      </c>
      <c r="F373" s="1007"/>
      <c r="G373" s="1007" t="str">
        <f>+VLOOKUP(Data_Validation!$A373,BV_Data_An_Cour!$L:$Q,6,0)</f>
        <v>7-Dépenses</v>
      </c>
      <c r="H373" s="165"/>
    </row>
    <row r="374" spans="1:12" ht="15" customHeight="1">
      <c r="A374" s="167" t="s">
        <v>2714</v>
      </c>
      <c r="B374" s="166" t="s">
        <v>1374</v>
      </c>
      <c r="C374" s="955" t="s">
        <v>155</v>
      </c>
      <c r="D374" s="955" t="s">
        <v>121</v>
      </c>
      <c r="E374" s="1007" t="s">
        <v>1917</v>
      </c>
      <c r="F374" s="1007"/>
      <c r="G374" s="1007" t="str">
        <f>+VLOOKUP(Data_Validation!$A374,BV_Data_An_Cour!$L:$Q,6,0)</f>
        <v>7-Dépenses</v>
      </c>
      <c r="H374" s="165"/>
    </row>
    <row r="375" spans="1:12" ht="15" customHeight="1">
      <c r="A375" s="169" t="s">
        <v>2711</v>
      </c>
      <c r="B375" s="169" t="s">
        <v>1259</v>
      </c>
      <c r="C375" s="955" t="s">
        <v>155</v>
      </c>
      <c r="D375" s="955" t="s">
        <v>213</v>
      </c>
      <c r="E375" s="1007" t="s">
        <v>1917</v>
      </c>
      <c r="F375" s="1007"/>
      <c r="G375" s="1007" t="str">
        <f>+VLOOKUP(Data_Validation!$A375,BV_Data_An_Cour!$L:$Q,6,0)</f>
        <v>7-Dépenses</v>
      </c>
      <c r="H375" s="165"/>
      <c r="L375" s="2"/>
    </row>
    <row r="376" spans="1:12" ht="15" customHeight="1">
      <c r="A376" s="167" t="s">
        <v>2771</v>
      </c>
      <c r="B376" s="166" t="s">
        <v>2624</v>
      </c>
      <c r="C376" s="955" t="s">
        <v>155</v>
      </c>
      <c r="D376" s="955" t="s">
        <v>112</v>
      </c>
      <c r="E376" s="1007" t="s">
        <v>1917</v>
      </c>
      <c r="F376" s="1007"/>
      <c r="G376" s="1007" t="str">
        <f>+VLOOKUP(Data_Validation!$A376,BV_Data_An_Cour!$L:$Q,6,0)</f>
        <v>7-Dépenses</v>
      </c>
      <c r="H376" s="165"/>
    </row>
    <row r="377" spans="1:12" ht="15" customHeight="1">
      <c r="A377" s="169" t="s">
        <v>2766</v>
      </c>
      <c r="B377" s="169" t="s">
        <v>1266</v>
      </c>
      <c r="C377" s="955" t="s">
        <v>155</v>
      </c>
      <c r="D377" s="955" t="s">
        <v>113</v>
      </c>
      <c r="E377" s="1007" t="s">
        <v>1917</v>
      </c>
      <c r="F377" s="1007"/>
      <c r="G377" s="1007" t="str">
        <f>+VLOOKUP(Data_Validation!$A377,BV_Data_An_Cour!$L:$Q,6,0)</f>
        <v>7-Dépenses</v>
      </c>
      <c r="H377" s="165"/>
    </row>
    <row r="378" spans="1:12" ht="15" customHeight="1">
      <c r="A378" s="167" t="s">
        <v>2805</v>
      </c>
      <c r="B378" s="166" t="s">
        <v>1249</v>
      </c>
      <c r="C378" s="955" t="s">
        <v>155</v>
      </c>
      <c r="D378" s="955" t="s">
        <v>114</v>
      </c>
      <c r="E378" s="1007" t="s">
        <v>1917</v>
      </c>
      <c r="F378" s="1007"/>
      <c r="G378" s="1007" t="str">
        <f>+VLOOKUP(Data_Validation!$A378,BV_Data_An_Cour!$L:$Q,6,0)</f>
        <v>7-Dépenses</v>
      </c>
      <c r="H378" s="165"/>
    </row>
    <row r="379" spans="1:12" ht="15" customHeight="1">
      <c r="A379" s="169" t="s">
        <v>2810</v>
      </c>
      <c r="B379" s="169" t="s">
        <v>1330</v>
      </c>
      <c r="C379" s="955" t="s">
        <v>155</v>
      </c>
      <c r="D379" s="955" t="s">
        <v>115</v>
      </c>
      <c r="E379" s="1007" t="s">
        <v>1917</v>
      </c>
      <c r="F379" s="1007"/>
      <c r="G379" s="1007" t="str">
        <f>+VLOOKUP(Data_Validation!$A379,BV_Data_An_Cour!$L:$Q,6,0)</f>
        <v>7-Dépenses</v>
      </c>
      <c r="H379" s="165"/>
    </row>
    <row r="380" spans="1:12" ht="15" customHeight="1">
      <c r="A380" s="167" t="s">
        <v>2793</v>
      </c>
      <c r="B380" s="166" t="s">
        <v>1448</v>
      </c>
      <c r="C380" s="955" t="s">
        <v>155</v>
      </c>
      <c r="D380" s="955" t="s">
        <v>116</v>
      </c>
      <c r="E380" s="1007" t="s">
        <v>1917</v>
      </c>
      <c r="F380" s="1007"/>
      <c r="G380" s="1007" t="str">
        <f>+VLOOKUP(Data_Validation!$A380,BV_Data_An_Cour!$L:$Q,6,0)</f>
        <v>7-Dépenses</v>
      </c>
      <c r="H380" s="165"/>
    </row>
    <row r="381" spans="1:12" ht="15" customHeight="1">
      <c r="A381" s="169" t="s">
        <v>2732</v>
      </c>
      <c r="B381" s="169" t="s">
        <v>1252</v>
      </c>
      <c r="C381" s="955" t="s">
        <v>155</v>
      </c>
      <c r="D381" s="955" t="s">
        <v>119</v>
      </c>
      <c r="E381" s="1007" t="s">
        <v>1917</v>
      </c>
      <c r="F381" s="1007"/>
      <c r="G381" s="1007" t="str">
        <f>+VLOOKUP(Data_Validation!$A381,BV_Data_An_Cour!$L:$Q,6,0)</f>
        <v>7-Dépenses</v>
      </c>
      <c r="H381" s="165"/>
    </row>
    <row r="382" spans="1:12" ht="15" customHeight="1">
      <c r="A382" s="167" t="s">
        <v>2779</v>
      </c>
      <c r="B382" s="166" t="s">
        <v>1283</v>
      </c>
      <c r="C382" s="955" t="s">
        <v>155</v>
      </c>
      <c r="D382" s="955" t="s">
        <v>117</v>
      </c>
      <c r="E382" s="1007" t="s">
        <v>1917</v>
      </c>
      <c r="F382" s="1007"/>
      <c r="G382" s="1007" t="str">
        <f>+VLOOKUP(Data_Validation!$A382,BV_Data_An_Cour!$L:$Q,6,0)</f>
        <v>7-Dépenses</v>
      </c>
      <c r="H382" s="165"/>
    </row>
    <row r="383" spans="1:12" ht="15" customHeight="1">
      <c r="A383" s="169" t="s">
        <v>2608</v>
      </c>
      <c r="B383" s="169" t="s">
        <v>1220</v>
      </c>
      <c r="C383" s="955" t="s">
        <v>155</v>
      </c>
      <c r="D383" s="955" t="s">
        <v>118</v>
      </c>
      <c r="E383" s="1007" t="s">
        <v>1917</v>
      </c>
      <c r="F383" s="1007"/>
      <c r="G383" s="1007" t="str">
        <f>+VLOOKUP(Data_Validation!$A383,BV_Data_An_Cour!$L:$Q,6,0)</f>
        <v>7-Dépenses</v>
      </c>
      <c r="H383" s="165"/>
    </row>
    <row r="384" spans="1:12" ht="15" customHeight="1">
      <c r="A384" s="167" t="s">
        <v>2742</v>
      </c>
      <c r="B384" s="166" t="s">
        <v>1305</v>
      </c>
      <c r="C384" s="955" t="s">
        <v>155</v>
      </c>
      <c r="D384" s="955" t="s">
        <v>118</v>
      </c>
      <c r="E384" s="1007" t="s">
        <v>1917</v>
      </c>
      <c r="F384" s="1007"/>
      <c r="G384" s="1007" t="str">
        <f>+VLOOKUP(Data_Validation!$A384,BV_Data_An_Cour!$L:$Q,6,0)</f>
        <v>7-Dépenses</v>
      </c>
      <c r="H384" s="165"/>
    </row>
    <row r="385" spans="1:8" ht="15" customHeight="1">
      <c r="A385" s="167" t="s">
        <v>2466</v>
      </c>
      <c r="B385" s="166" t="s">
        <v>1178</v>
      </c>
      <c r="C385" s="955" t="s">
        <v>155</v>
      </c>
      <c r="D385" s="955" t="s">
        <v>122</v>
      </c>
      <c r="E385" s="1007" t="s">
        <v>1917</v>
      </c>
      <c r="F385" s="1007"/>
      <c r="G385" s="1007" t="str">
        <f>+VLOOKUP(Data_Validation!$A385,BV_Data_An_Cour!$L:$Q,6,0)</f>
        <v>7-Dépenses</v>
      </c>
      <c r="H385" s="165"/>
    </row>
    <row r="386" spans="1:8" ht="15" customHeight="1">
      <c r="A386" s="167" t="s">
        <v>2655</v>
      </c>
      <c r="B386" s="166" t="s">
        <v>1157</v>
      </c>
      <c r="C386" s="955" t="s">
        <v>155</v>
      </c>
      <c r="D386" s="955" t="s">
        <v>127</v>
      </c>
      <c r="E386" s="1007" t="s">
        <v>1917</v>
      </c>
      <c r="F386" s="1007"/>
      <c r="G386" s="1007" t="str">
        <f>+VLOOKUP(Data_Validation!$A386,BV_Data_An_Cour!$L:$Q,6,0)</f>
        <v>7-Dépenses</v>
      </c>
      <c r="H386" s="165"/>
    </row>
    <row r="387" spans="1:8" ht="15" customHeight="1">
      <c r="A387" s="169" t="s">
        <v>2158</v>
      </c>
      <c r="B387" s="169" t="s">
        <v>932</v>
      </c>
      <c r="C387" s="955" t="s">
        <v>155</v>
      </c>
      <c r="D387" s="955" t="s">
        <v>128</v>
      </c>
      <c r="E387" s="1007" t="s">
        <v>1917</v>
      </c>
      <c r="F387" s="1007"/>
      <c r="G387" s="1007" t="str">
        <f>+VLOOKUP(Data_Validation!$A387,BV_Data_An_Cour!$L:$Q,6,0)</f>
        <v>7-Dépenses</v>
      </c>
      <c r="H387" s="165"/>
    </row>
    <row r="388" spans="1:8" ht="15" customHeight="1">
      <c r="A388" s="167" t="s">
        <v>2572</v>
      </c>
      <c r="B388" s="166" t="s">
        <v>934</v>
      </c>
      <c r="C388" s="955" t="s">
        <v>155</v>
      </c>
      <c r="D388" s="955" t="s">
        <v>133</v>
      </c>
      <c r="E388" s="1007" t="s">
        <v>1917</v>
      </c>
      <c r="F388" s="1007"/>
      <c r="G388" s="1007" t="str">
        <f>+VLOOKUP(Data_Validation!$A388,BV_Data_An_Cour!$L:$Q,6,0)</f>
        <v>7-Dépenses</v>
      </c>
      <c r="H388" s="165"/>
    </row>
    <row r="389" spans="1:8" ht="15" customHeight="1">
      <c r="A389" s="169" t="s">
        <v>2801</v>
      </c>
      <c r="B389" s="169" t="s">
        <v>1527</v>
      </c>
      <c r="C389" s="955" t="s">
        <v>155</v>
      </c>
      <c r="D389" s="955" t="s">
        <v>123</v>
      </c>
      <c r="E389" s="1007" t="s">
        <v>1917</v>
      </c>
      <c r="F389" s="1007"/>
      <c r="G389" s="1007" t="str">
        <f>+VLOOKUP(Data_Validation!$A389,BV_Data_An_Cour!$L:$Q,6,0)</f>
        <v>7-Dépenses</v>
      </c>
      <c r="H389" s="165"/>
    </row>
    <row r="390" spans="1:8" ht="15" customHeight="1">
      <c r="A390" s="167" t="s">
        <v>2609</v>
      </c>
      <c r="B390" s="166" t="s">
        <v>1180</v>
      </c>
      <c r="C390" s="955" t="s">
        <v>155</v>
      </c>
      <c r="D390" s="955" t="s">
        <v>131</v>
      </c>
      <c r="E390" s="1007" t="s">
        <v>1917</v>
      </c>
      <c r="F390" s="1007"/>
      <c r="G390" s="1007" t="str">
        <f>+VLOOKUP(Data_Validation!$A390,BV_Data_An_Cour!$L:$Q,6,0)</f>
        <v>7-Dépenses</v>
      </c>
      <c r="H390" s="165"/>
    </row>
    <row r="391" spans="1:8" ht="15" customHeight="1">
      <c r="A391" s="169" t="s">
        <v>2745</v>
      </c>
      <c r="B391" s="169" t="s">
        <v>1286</v>
      </c>
      <c r="C391" s="955" t="s">
        <v>155</v>
      </c>
      <c r="D391" s="955" t="s">
        <v>124</v>
      </c>
      <c r="E391" s="1007" t="s">
        <v>1917</v>
      </c>
      <c r="F391" s="1007"/>
      <c r="G391" s="1007" t="str">
        <f>+VLOOKUP(Data_Validation!$A391,BV_Data_An_Cour!$L:$Q,6,0)</f>
        <v>7-Dépenses</v>
      </c>
      <c r="H391" s="165"/>
    </row>
    <row r="392" spans="1:8" ht="15" customHeight="1">
      <c r="A392" s="167" t="s">
        <v>2644</v>
      </c>
      <c r="B392" s="166" t="s">
        <v>1206</v>
      </c>
      <c r="C392" s="955" t="s">
        <v>155</v>
      </c>
      <c r="D392" s="955" t="s">
        <v>129</v>
      </c>
      <c r="E392" s="1007" t="s">
        <v>1917</v>
      </c>
      <c r="F392" s="1007"/>
      <c r="G392" s="1007" t="str">
        <f>+VLOOKUP(Data_Validation!$A392,BV_Data_An_Cour!$L:$Q,6,0)</f>
        <v>7-Dépenses</v>
      </c>
      <c r="H392" s="165"/>
    </row>
    <row r="393" spans="1:8" ht="15" customHeight="1">
      <c r="A393" s="169" t="s">
        <v>2645</v>
      </c>
      <c r="B393" s="169" t="s">
        <v>1154</v>
      </c>
      <c r="C393" s="955" t="s">
        <v>155</v>
      </c>
      <c r="D393" s="955" t="s">
        <v>130</v>
      </c>
      <c r="E393" s="1007" t="s">
        <v>1917</v>
      </c>
      <c r="F393" s="1007"/>
      <c r="G393" s="1007" t="str">
        <f>+VLOOKUP(Data_Validation!$A393,BV_Data_An_Cour!$L:$Q,6,0)</f>
        <v>7-Dépenses</v>
      </c>
      <c r="H393" s="165"/>
    </row>
    <row r="394" spans="1:8" ht="15" customHeight="1">
      <c r="A394" s="167" t="s">
        <v>2700</v>
      </c>
      <c r="B394" s="166" t="s">
        <v>1237</v>
      </c>
      <c r="C394" s="955" t="s">
        <v>155</v>
      </c>
      <c r="D394" s="955" t="s">
        <v>132</v>
      </c>
      <c r="E394" s="1007" t="s">
        <v>1917</v>
      </c>
      <c r="F394" s="1007"/>
      <c r="G394" s="1007" t="str">
        <f>+VLOOKUP(Data_Validation!$A394,BV_Data_An_Cour!$L:$Q,6,0)</f>
        <v>7-Dépenses</v>
      </c>
      <c r="H394" s="165"/>
    </row>
    <row r="395" spans="1:8" ht="15" customHeight="1">
      <c r="A395" s="167" t="s">
        <v>2656</v>
      </c>
      <c r="B395" s="166" t="s">
        <v>1292</v>
      </c>
      <c r="C395" s="955" t="s">
        <v>155</v>
      </c>
      <c r="D395" s="955" t="s">
        <v>125</v>
      </c>
      <c r="E395" s="1007" t="s">
        <v>1917</v>
      </c>
      <c r="F395" s="1007"/>
      <c r="G395" s="1007" t="str">
        <f>+VLOOKUP(Data_Validation!$A395,BV_Data_An_Cour!$L:$Q,6,0)</f>
        <v>7-Dépenses</v>
      </c>
      <c r="H395" s="165"/>
    </row>
    <row r="396" spans="1:8" ht="15" customHeight="1">
      <c r="A396" s="169" t="s">
        <v>2736</v>
      </c>
      <c r="B396" s="169" t="s">
        <v>1308</v>
      </c>
      <c r="C396" s="955" t="s">
        <v>155</v>
      </c>
      <c r="D396" s="955" t="s">
        <v>126</v>
      </c>
      <c r="E396" s="1007" t="s">
        <v>1917</v>
      </c>
      <c r="F396" s="1007"/>
      <c r="G396" s="1007" t="str">
        <f>+VLOOKUP(Data_Validation!$A396,BV_Data_An_Cour!$L:$Q,6,0)</f>
        <v>7-Dépenses</v>
      </c>
      <c r="H396" s="165"/>
    </row>
    <row r="397" spans="1:8" ht="15" customHeight="1">
      <c r="A397" s="167" t="s">
        <v>2716</v>
      </c>
      <c r="B397" s="166" t="s">
        <v>1333</v>
      </c>
      <c r="C397" s="955" t="s">
        <v>155</v>
      </c>
      <c r="D397" s="955" t="s">
        <v>260</v>
      </c>
      <c r="E397" s="1007" t="s">
        <v>1917</v>
      </c>
      <c r="F397" s="1007"/>
      <c r="G397" s="1007" t="str">
        <f>+VLOOKUP(Data_Validation!$A397,BV_Data_An_Cour!$L:$Q,6,0)</f>
        <v>7-Dépenses</v>
      </c>
      <c r="H397" s="165"/>
    </row>
    <row r="398" spans="1:8" ht="15" customHeight="1">
      <c r="A398" s="169" t="s">
        <v>2607</v>
      </c>
      <c r="B398" s="169" t="s">
        <v>936</v>
      </c>
      <c r="C398" s="955" t="s">
        <v>155</v>
      </c>
      <c r="D398" s="955" t="s">
        <v>250</v>
      </c>
      <c r="E398" s="1007" t="s">
        <v>1917</v>
      </c>
      <c r="F398" s="1007"/>
      <c r="G398" s="1007" t="e">
        <f>+VLOOKUP(Data_Validation!$A398,BV_Data_An_Cour!$L:$Q,6,0)</f>
        <v>#N/A</v>
      </c>
      <c r="H398" s="165"/>
    </row>
    <row r="399" spans="1:8" ht="15" customHeight="1">
      <c r="A399" s="167" t="s">
        <v>2638</v>
      </c>
      <c r="B399" s="166" t="s">
        <v>1168</v>
      </c>
      <c r="C399" s="955" t="s">
        <v>155</v>
      </c>
      <c r="D399" s="955" t="s">
        <v>248</v>
      </c>
      <c r="E399" s="1007" t="s">
        <v>1917</v>
      </c>
      <c r="F399" s="1007"/>
      <c r="G399" s="1007" t="str">
        <f>+VLOOKUP(Data_Validation!$A399,BV_Data_An_Cour!$L:$Q,6,0)</f>
        <v>7-Dépenses</v>
      </c>
      <c r="H399" s="165"/>
    </row>
    <row r="400" spans="1:8" ht="15" customHeight="1">
      <c r="A400" s="167" t="s">
        <v>2670</v>
      </c>
      <c r="B400" s="166" t="s">
        <v>1311</v>
      </c>
      <c r="C400" s="955" t="s">
        <v>155</v>
      </c>
      <c r="D400" s="955" t="s">
        <v>244</v>
      </c>
      <c r="E400" s="1007" t="s">
        <v>1917</v>
      </c>
      <c r="F400" s="1007"/>
      <c r="G400" s="1007" t="str">
        <f>+VLOOKUP(Data_Validation!$A400,BV_Data_An_Cour!$L:$Q,6,0)</f>
        <v>7-Dépenses</v>
      </c>
      <c r="H400" s="165"/>
    </row>
    <row r="401" spans="1:8" ht="15" customHeight="1">
      <c r="A401" s="167" t="s">
        <v>2756</v>
      </c>
      <c r="B401" s="166" t="s">
        <v>1452</v>
      </c>
      <c r="C401" s="955" t="s">
        <v>155</v>
      </c>
      <c r="D401" s="955" t="s">
        <v>235</v>
      </c>
      <c r="E401" s="1007" t="s">
        <v>1917</v>
      </c>
      <c r="F401" s="1007"/>
      <c r="G401" s="1007" t="str">
        <f>+VLOOKUP(Data_Validation!$A401,BV_Data_An_Cour!$L:$Q,6,0)</f>
        <v>7-Dépenses</v>
      </c>
      <c r="H401" s="165"/>
    </row>
    <row r="402" spans="1:8" ht="15" customHeight="1">
      <c r="A402" s="169" t="s">
        <v>2657</v>
      </c>
      <c r="B402" s="169" t="s">
        <v>1347</v>
      </c>
      <c r="C402" s="955" t="s">
        <v>155</v>
      </c>
      <c r="D402" s="955" t="s">
        <v>242</v>
      </c>
      <c r="E402" s="1007" t="s">
        <v>1917</v>
      </c>
      <c r="F402" s="1007"/>
      <c r="G402" s="1007" t="str">
        <f>+VLOOKUP(Data_Validation!$A402,BV_Data_An_Cour!$L:$Q,6,0)</f>
        <v>7-Dépenses</v>
      </c>
      <c r="H402" s="165"/>
    </row>
    <row r="403" spans="1:8" ht="15" customHeight="1">
      <c r="A403" s="167" t="s">
        <v>2681</v>
      </c>
      <c r="B403" s="166" t="s">
        <v>1340</v>
      </c>
      <c r="C403" s="955" t="s">
        <v>155</v>
      </c>
      <c r="D403" s="955" t="s">
        <v>237</v>
      </c>
      <c r="E403" s="1007" t="s">
        <v>1917</v>
      </c>
      <c r="F403" s="1007"/>
      <c r="G403" s="1007" t="str">
        <f>+VLOOKUP(Data_Validation!$A403,BV_Data_An_Cour!$L:$Q,6,0)</f>
        <v>7-Dépenses</v>
      </c>
      <c r="H403" s="165"/>
    </row>
    <row r="404" spans="1:8" ht="15" customHeight="1">
      <c r="A404" s="167" t="s">
        <v>2663</v>
      </c>
      <c r="B404" s="166" t="s">
        <v>1274</v>
      </c>
      <c r="C404" s="955" t="s">
        <v>155</v>
      </c>
      <c r="D404" s="955" t="s">
        <v>239</v>
      </c>
      <c r="E404" s="1007" t="s">
        <v>1917</v>
      </c>
      <c r="F404" s="1007"/>
      <c r="G404" s="1007" t="str">
        <f>+VLOOKUP(Data_Validation!$A404,BV_Data_An_Cour!$L:$Q,6,0)</f>
        <v>7-Dépenses</v>
      </c>
      <c r="H404" s="165"/>
    </row>
    <row r="405" spans="1:8" ht="15" customHeight="1">
      <c r="A405" s="167" t="s">
        <v>2699</v>
      </c>
      <c r="B405" s="166" t="s">
        <v>1367</v>
      </c>
      <c r="C405" s="955" t="s">
        <v>155</v>
      </c>
      <c r="D405" s="955" t="s">
        <v>246</v>
      </c>
      <c r="E405" s="1007" t="s">
        <v>1917</v>
      </c>
      <c r="F405" s="1007"/>
      <c r="G405" s="1007" t="str">
        <f>+VLOOKUP(Data_Validation!$A405,BV_Data_An_Cour!$L:$Q,6,0)</f>
        <v>7-Dépenses</v>
      </c>
      <c r="H405" s="165"/>
    </row>
    <row r="406" spans="1:8" ht="15" customHeight="1">
      <c r="A406" s="169" t="s">
        <v>2627</v>
      </c>
      <c r="B406" s="169" t="s">
        <v>399</v>
      </c>
      <c r="C406" s="955" t="s">
        <v>171</v>
      </c>
      <c r="D406" s="955" t="s">
        <v>122</v>
      </c>
      <c r="E406" s="1007" t="s">
        <v>1917</v>
      </c>
      <c r="F406" s="1007"/>
      <c r="G406" s="1007" t="str">
        <f>+VLOOKUP(Data_Validation!$A406,BV_Data_An_Cour!$L:$Q,6,0)</f>
        <v>7-Dépenses</v>
      </c>
      <c r="H406" s="165"/>
    </row>
    <row r="407" spans="1:8" ht="15" customHeight="1">
      <c r="A407" s="167" t="s">
        <v>2559</v>
      </c>
      <c r="B407" s="166" t="s">
        <v>1374</v>
      </c>
      <c r="C407" s="955" t="s">
        <v>171</v>
      </c>
      <c r="D407" s="955" t="s">
        <v>121</v>
      </c>
      <c r="E407" s="1007" t="s">
        <v>1917</v>
      </c>
      <c r="F407" s="1007"/>
      <c r="G407" s="1007" t="str">
        <f>+VLOOKUP(Data_Validation!$A407,BV_Data_An_Cour!$L:$Q,6,0)</f>
        <v>7-Dépenses</v>
      </c>
      <c r="H407" s="165"/>
    </row>
    <row r="408" spans="1:8" ht="15" customHeight="1">
      <c r="A408" s="167" t="s">
        <v>2647</v>
      </c>
      <c r="B408" s="166" t="s">
        <v>1259</v>
      </c>
      <c r="C408" s="955" t="s">
        <v>171</v>
      </c>
      <c r="D408" s="955" t="s">
        <v>213</v>
      </c>
      <c r="E408" s="1007" t="s">
        <v>1917</v>
      </c>
      <c r="F408" s="1007"/>
      <c r="G408" s="1007" t="str">
        <f>+VLOOKUP(Data_Validation!$A408,BV_Data_An_Cour!$L:$Q,6,0)</f>
        <v>7-Dépenses</v>
      </c>
      <c r="H408" s="165"/>
    </row>
    <row r="409" spans="1:8" ht="15" customHeight="1">
      <c r="A409" s="167" t="s">
        <v>2625</v>
      </c>
      <c r="B409" s="166" t="s">
        <v>2624</v>
      </c>
      <c r="C409" s="955" t="s">
        <v>171</v>
      </c>
      <c r="D409" s="955" t="s">
        <v>112</v>
      </c>
      <c r="E409" s="1007" t="s">
        <v>1917</v>
      </c>
      <c r="F409" s="1007"/>
      <c r="G409" s="1007" t="str">
        <f>+VLOOKUP(Data_Validation!$A409,BV_Data_An_Cour!$L:$Q,6,0)</f>
        <v>7-Dépenses</v>
      </c>
      <c r="H409" s="165"/>
    </row>
    <row r="410" spans="1:8" ht="15" customHeight="1">
      <c r="A410" s="167" t="s">
        <v>2678</v>
      </c>
      <c r="B410" s="166" t="s">
        <v>1266</v>
      </c>
      <c r="C410" s="955" t="s">
        <v>171</v>
      </c>
      <c r="D410" s="955" t="s">
        <v>113</v>
      </c>
      <c r="E410" s="1007" t="s">
        <v>1917</v>
      </c>
      <c r="F410" s="1007"/>
      <c r="G410" s="1007" t="str">
        <f>+VLOOKUP(Data_Validation!$A410,BV_Data_An_Cour!$L:$Q,6,0)</f>
        <v>7-Dépenses</v>
      </c>
      <c r="H410" s="165"/>
    </row>
    <row r="411" spans="1:8" ht="15" customHeight="1">
      <c r="A411" s="167" t="s">
        <v>2734</v>
      </c>
      <c r="B411" s="166" t="s">
        <v>1249</v>
      </c>
      <c r="C411" s="955" t="s">
        <v>171</v>
      </c>
      <c r="D411" s="955" t="s">
        <v>114</v>
      </c>
      <c r="E411" s="1007" t="s">
        <v>1917</v>
      </c>
      <c r="F411" s="1007"/>
      <c r="G411" s="1007" t="str">
        <f>+VLOOKUP(Data_Validation!$A411,BV_Data_An_Cour!$L:$Q,6,0)</f>
        <v>7-Dépenses</v>
      </c>
      <c r="H411" s="165"/>
    </row>
    <row r="412" spans="1:8" ht="15" customHeight="1">
      <c r="A412" s="167" t="s">
        <v>2720</v>
      </c>
      <c r="B412" s="166" t="s">
        <v>1330</v>
      </c>
      <c r="C412" s="955" t="s">
        <v>171</v>
      </c>
      <c r="D412" s="955" t="s">
        <v>115</v>
      </c>
      <c r="E412" s="1007" t="s">
        <v>1917</v>
      </c>
      <c r="F412" s="1007"/>
      <c r="G412" s="1007" t="str">
        <f>+VLOOKUP(Data_Validation!$A412,BV_Data_An_Cour!$L:$Q,6,0)</f>
        <v>7-Dépenses</v>
      </c>
      <c r="H412" s="165"/>
    </row>
    <row r="413" spans="1:8" ht="15" customHeight="1">
      <c r="A413" s="168" t="s">
        <v>2640</v>
      </c>
      <c r="B413" s="169" t="s">
        <v>1211</v>
      </c>
      <c r="C413" s="955" t="s">
        <v>171</v>
      </c>
      <c r="D413" s="955" t="s">
        <v>116</v>
      </c>
      <c r="E413" s="1007" t="s">
        <v>1917</v>
      </c>
      <c r="F413" s="1007"/>
      <c r="G413" s="1007" t="str">
        <f>+VLOOKUP(Data_Validation!$A413,BV_Data_An_Cour!$L:$Q,6,0)</f>
        <v>7-Dépenses</v>
      </c>
      <c r="H413" s="165"/>
    </row>
    <row r="414" spans="1:8" ht="15" customHeight="1">
      <c r="A414" s="167" t="s">
        <v>2585</v>
      </c>
      <c r="B414" s="166" t="s">
        <v>1252</v>
      </c>
      <c r="C414" s="955" t="s">
        <v>171</v>
      </c>
      <c r="D414" s="955" t="s">
        <v>119</v>
      </c>
      <c r="E414" s="1007" t="s">
        <v>1917</v>
      </c>
      <c r="F414" s="1007"/>
      <c r="G414" s="1007" t="str">
        <f>+VLOOKUP(Data_Validation!$A414,BV_Data_An_Cour!$L:$Q,6,0)</f>
        <v>7-Dépenses</v>
      </c>
      <c r="H414" s="165"/>
    </row>
    <row r="415" spans="1:8" ht="15" customHeight="1">
      <c r="A415" s="167" t="s">
        <v>2684</v>
      </c>
      <c r="B415" s="166" t="s">
        <v>1283</v>
      </c>
      <c r="C415" s="955" t="s">
        <v>171</v>
      </c>
      <c r="D415" s="955" t="s">
        <v>117</v>
      </c>
      <c r="E415" s="1007" t="s">
        <v>1917</v>
      </c>
      <c r="F415" s="1007"/>
      <c r="G415" s="1007" t="str">
        <f>+VLOOKUP(Data_Validation!$A415,BV_Data_An_Cour!$L:$Q,6,0)</f>
        <v>7-Dépenses</v>
      </c>
      <c r="H415" s="165"/>
    </row>
    <row r="416" spans="1:8" ht="15" customHeight="1">
      <c r="A416" s="167" t="s">
        <v>2693</v>
      </c>
      <c r="B416" s="166" t="s">
        <v>1305</v>
      </c>
      <c r="C416" s="955" t="s">
        <v>171</v>
      </c>
      <c r="D416" s="955" t="s">
        <v>118</v>
      </c>
      <c r="E416" s="1007" t="s">
        <v>1917</v>
      </c>
      <c r="F416" s="1007"/>
      <c r="G416" s="1007" t="str">
        <f>+VLOOKUP(Data_Validation!$A416,BV_Data_An_Cour!$L:$Q,6,0)</f>
        <v>7-Dépenses</v>
      </c>
      <c r="H416" s="165"/>
    </row>
    <row r="417" spans="1:8" ht="15" customHeight="1">
      <c r="A417" s="167" t="s">
        <v>2562</v>
      </c>
      <c r="B417" s="166" t="s">
        <v>1157</v>
      </c>
      <c r="C417" s="955" t="s">
        <v>171</v>
      </c>
      <c r="D417" s="955" t="s">
        <v>127</v>
      </c>
      <c r="E417" s="1007" t="s">
        <v>1917</v>
      </c>
      <c r="F417" s="1007"/>
      <c r="G417" s="1007" t="str">
        <f>+VLOOKUP(Data_Validation!$A417,BV_Data_An_Cour!$L:$Q,6,0)</f>
        <v>7-Dépenses</v>
      </c>
      <c r="H417" s="165"/>
    </row>
    <row r="418" spans="1:8" ht="15" customHeight="1">
      <c r="A418" s="168" t="s">
        <v>2468</v>
      </c>
      <c r="B418" s="169" t="s">
        <v>1196</v>
      </c>
      <c r="C418" s="955" t="s">
        <v>171</v>
      </c>
      <c r="D418" s="955" t="s">
        <v>128</v>
      </c>
      <c r="E418" s="1007" t="s">
        <v>1917</v>
      </c>
      <c r="F418" s="1007"/>
      <c r="G418" s="1007" t="e">
        <f>+VLOOKUP(Data_Validation!$A418,BV_Data_An_Cour!$L:$Q,6,0)</f>
        <v>#N/A</v>
      </c>
      <c r="H418" s="165"/>
    </row>
    <row r="419" spans="1:8" ht="15" customHeight="1">
      <c r="A419" s="167" t="s">
        <v>2560</v>
      </c>
      <c r="B419" s="166" t="s">
        <v>934</v>
      </c>
      <c r="C419" s="955" t="s">
        <v>171</v>
      </c>
      <c r="D419" s="955" t="s">
        <v>133</v>
      </c>
      <c r="E419" s="1007" t="s">
        <v>1917</v>
      </c>
      <c r="F419" s="1007"/>
      <c r="G419" s="1007" t="str">
        <f>+VLOOKUP(Data_Validation!$A419,BV_Data_An_Cour!$L:$Q,6,0)</f>
        <v>7-Dépenses</v>
      </c>
      <c r="H419" s="165"/>
    </row>
    <row r="420" spans="1:8" ht="15" customHeight="1">
      <c r="A420" s="167" t="s">
        <v>2654</v>
      </c>
      <c r="B420" s="166" t="s">
        <v>1186</v>
      </c>
      <c r="C420" s="955" t="s">
        <v>171</v>
      </c>
      <c r="D420" s="955" t="s">
        <v>123</v>
      </c>
      <c r="E420" s="1007" t="s">
        <v>1917</v>
      </c>
      <c r="F420" s="1007"/>
      <c r="G420" s="1007" t="str">
        <f>+VLOOKUP(Data_Validation!$A420,BV_Data_An_Cour!$L:$Q,6,0)</f>
        <v>7-Dépenses</v>
      </c>
      <c r="H420" s="165"/>
    </row>
    <row r="421" spans="1:8" ht="15" customHeight="1">
      <c r="A421" s="168" t="s">
        <v>2580</v>
      </c>
      <c r="B421" s="169" t="s">
        <v>1180</v>
      </c>
      <c r="C421" s="955" t="s">
        <v>171</v>
      </c>
      <c r="D421" s="955" t="s">
        <v>131</v>
      </c>
      <c r="E421" s="1007" t="s">
        <v>1917</v>
      </c>
      <c r="F421" s="1007"/>
      <c r="G421" s="1007" t="str">
        <f>+VLOOKUP(Data_Validation!$A421,BV_Data_An_Cour!$L:$Q,6,0)</f>
        <v>7-Dépenses</v>
      </c>
      <c r="H421" s="165"/>
    </row>
    <row r="422" spans="1:8" ht="15" customHeight="1">
      <c r="A422" s="167" t="s">
        <v>2701</v>
      </c>
      <c r="B422" s="166" t="s">
        <v>1286</v>
      </c>
      <c r="C422" s="955" t="s">
        <v>171</v>
      </c>
      <c r="D422" s="955" t="s">
        <v>124</v>
      </c>
      <c r="E422" s="1007" t="s">
        <v>1917</v>
      </c>
      <c r="F422" s="1007"/>
      <c r="G422" s="1007" t="str">
        <f>+VLOOKUP(Data_Validation!$A422,BV_Data_An_Cour!$L:$Q,6,0)</f>
        <v>7-Dépenses</v>
      </c>
      <c r="H422" s="165"/>
    </row>
    <row r="423" spans="1:8" ht="15" customHeight="1">
      <c r="A423" s="168" t="s">
        <v>2587</v>
      </c>
      <c r="B423" s="169" t="s">
        <v>1206</v>
      </c>
      <c r="C423" s="955" t="s">
        <v>171</v>
      </c>
      <c r="D423" s="955" t="s">
        <v>129</v>
      </c>
      <c r="E423" s="1007" t="s">
        <v>1917</v>
      </c>
      <c r="F423" s="1010"/>
      <c r="G423" s="1010" t="str">
        <f>+VLOOKUP(Data_Validation!$A423,BV_Data_An_Cour!$L:$Q,6,0)</f>
        <v>7-Dépenses</v>
      </c>
      <c r="H423" s="165"/>
    </row>
    <row r="424" spans="1:8" ht="15" customHeight="1">
      <c r="A424" s="167" t="s">
        <v>2591</v>
      </c>
      <c r="B424" s="166" t="s">
        <v>1154</v>
      </c>
      <c r="C424" s="955" t="s">
        <v>171</v>
      </c>
      <c r="D424" s="955" t="s">
        <v>130</v>
      </c>
      <c r="E424" s="1007" t="s">
        <v>1917</v>
      </c>
      <c r="F424" s="1007"/>
      <c r="G424" s="1007" t="str">
        <f>+VLOOKUP(Data_Validation!$A424,BV_Data_An_Cour!$L:$Q,6,0)</f>
        <v>7-Dépenses</v>
      </c>
      <c r="H424" s="165"/>
    </row>
    <row r="425" spans="1:8" ht="15" customHeight="1">
      <c r="A425" s="168" t="s">
        <v>2636</v>
      </c>
      <c r="B425" s="169" t="s">
        <v>1237</v>
      </c>
      <c r="C425" s="955" t="s">
        <v>171</v>
      </c>
      <c r="D425" s="955" t="s">
        <v>132</v>
      </c>
      <c r="E425" s="1007" t="s">
        <v>1917</v>
      </c>
      <c r="F425" s="1010"/>
      <c r="G425" s="1010" t="str">
        <f>+VLOOKUP(Data_Validation!$A425,BV_Data_An_Cour!$L:$Q,6,0)</f>
        <v>7-Dépenses</v>
      </c>
      <c r="H425" s="165"/>
    </row>
    <row r="426" spans="1:8" ht="15" customHeight="1">
      <c r="A426" s="168" t="s">
        <v>2469</v>
      </c>
      <c r="B426" s="169" t="s">
        <v>1217</v>
      </c>
      <c r="C426" s="955" t="s">
        <v>171</v>
      </c>
      <c r="D426" s="955" t="s">
        <v>125</v>
      </c>
      <c r="E426" s="1007" t="s">
        <v>1917</v>
      </c>
      <c r="F426" s="1007"/>
      <c r="G426" s="1007" t="str">
        <f>+VLOOKUP(Data_Validation!$A426,BV_Data_An_Cour!$L:$Q,6,0)</f>
        <v>7-Dépenses</v>
      </c>
      <c r="H426" s="165"/>
    </row>
    <row r="427" spans="1:8" ht="15" customHeight="1">
      <c r="A427" s="168" t="s">
        <v>2661</v>
      </c>
      <c r="B427" s="169" t="s">
        <v>1308</v>
      </c>
      <c r="C427" s="955" t="s">
        <v>171</v>
      </c>
      <c r="D427" s="955" t="s">
        <v>126</v>
      </c>
      <c r="E427" s="1007" t="s">
        <v>1917</v>
      </c>
      <c r="F427" s="1010"/>
      <c r="G427" s="1010" t="str">
        <f>+VLOOKUP(Data_Validation!$A427,BV_Data_An_Cour!$L:$Q,6,0)</f>
        <v>7-Dépenses</v>
      </c>
      <c r="H427" s="165"/>
    </row>
    <row r="428" spans="1:8" ht="15" customHeight="1">
      <c r="A428" s="167" t="s">
        <v>2652</v>
      </c>
      <c r="B428" s="166" t="s">
        <v>1333</v>
      </c>
      <c r="C428" s="955" t="s">
        <v>171</v>
      </c>
      <c r="D428" s="955" t="s">
        <v>260</v>
      </c>
      <c r="E428" s="1007" t="s">
        <v>1917</v>
      </c>
      <c r="F428" s="1007"/>
      <c r="G428" s="1007" t="str">
        <f>+VLOOKUP(Data_Validation!$A428,BV_Data_An_Cour!$L:$Q,6,0)</f>
        <v>7-Dépenses</v>
      </c>
      <c r="H428" s="165"/>
    </row>
    <row r="429" spans="1:8" ht="15" customHeight="1">
      <c r="A429" s="168" t="s">
        <v>2471</v>
      </c>
      <c r="B429" s="169" t="s">
        <v>936</v>
      </c>
      <c r="C429" s="955" t="s">
        <v>171</v>
      </c>
      <c r="D429" s="955" t="s">
        <v>250</v>
      </c>
      <c r="E429" s="1007" t="s">
        <v>1917</v>
      </c>
      <c r="F429" s="1007"/>
      <c r="G429" s="1007" t="e">
        <f>+VLOOKUP(Data_Validation!$A429,BV_Data_An_Cour!$L:$Q,6,0)</f>
        <v>#N/A</v>
      </c>
      <c r="H429" s="165"/>
    </row>
    <row r="430" spans="1:8" ht="15" customHeight="1">
      <c r="A430" s="167" t="s">
        <v>2603</v>
      </c>
      <c r="B430" s="166" t="s">
        <v>1244</v>
      </c>
      <c r="C430" s="955" t="s">
        <v>171</v>
      </c>
      <c r="D430" s="955" t="s">
        <v>244</v>
      </c>
      <c r="E430" s="1007" t="s">
        <v>1917</v>
      </c>
      <c r="F430" s="1007"/>
      <c r="G430" s="1007" t="str">
        <f>+VLOOKUP(Data_Validation!$A430,BV_Data_An_Cour!$L:$Q,6,0)</f>
        <v>7-Dépenses</v>
      </c>
      <c r="H430" s="165"/>
    </row>
    <row r="431" spans="1:8" ht="15" customHeight="1">
      <c r="A431" s="168" t="s">
        <v>2708</v>
      </c>
      <c r="B431" s="169" t="s">
        <v>1398</v>
      </c>
      <c r="C431" s="955" t="s">
        <v>171</v>
      </c>
      <c r="D431" s="955" t="s">
        <v>235</v>
      </c>
      <c r="E431" s="1007" t="s">
        <v>1917</v>
      </c>
      <c r="F431" s="1007"/>
      <c r="G431" s="1007" t="str">
        <f>+VLOOKUP(Data_Validation!$A431,BV_Data_An_Cour!$L:$Q,6,0)</f>
        <v>7-Dépenses</v>
      </c>
      <c r="H431" s="165"/>
    </row>
    <row r="432" spans="1:8" ht="15" customHeight="1">
      <c r="A432" s="166" t="s">
        <v>2593</v>
      </c>
      <c r="B432" s="166" t="s">
        <v>1255</v>
      </c>
      <c r="C432" s="955" t="s">
        <v>171</v>
      </c>
      <c r="D432" s="955" t="s">
        <v>242</v>
      </c>
      <c r="E432" s="1007" t="s">
        <v>1917</v>
      </c>
      <c r="F432" s="1007"/>
      <c r="G432" s="1007" t="str">
        <f>+VLOOKUP(Data_Validation!$A432,BV_Data_An_Cour!$L:$Q,6,0)</f>
        <v>7-Dépenses</v>
      </c>
      <c r="H432" s="165"/>
    </row>
    <row r="433" spans="1:8" ht="15" customHeight="1">
      <c r="A433" s="166" t="s">
        <v>2613</v>
      </c>
      <c r="B433" s="166" t="s">
        <v>1264</v>
      </c>
      <c r="C433" s="955" t="s">
        <v>171</v>
      </c>
      <c r="D433" s="955" t="s">
        <v>237</v>
      </c>
      <c r="E433" s="1007" t="s">
        <v>1917</v>
      </c>
      <c r="F433" s="1007"/>
      <c r="G433" s="1007" t="str">
        <f>+VLOOKUP(Data_Validation!$A433,BV_Data_An_Cour!$L:$Q,6,0)</f>
        <v>7-Dépenses</v>
      </c>
      <c r="H433" s="165"/>
    </row>
    <row r="434" spans="1:8" ht="15" customHeight="1">
      <c r="A434" s="168" t="s">
        <v>2596</v>
      </c>
      <c r="B434" s="169" t="s">
        <v>1225</v>
      </c>
      <c r="C434" s="955" t="s">
        <v>171</v>
      </c>
      <c r="D434" s="955" t="s">
        <v>239</v>
      </c>
      <c r="E434" s="1007" t="s">
        <v>1917</v>
      </c>
      <c r="F434" s="1007"/>
      <c r="G434" s="1007" t="str">
        <f>+VLOOKUP(Data_Validation!$A434,BV_Data_An_Cour!$L:$Q,6,0)</f>
        <v>7-Dépenses</v>
      </c>
      <c r="H434" s="165"/>
    </row>
    <row r="435" spans="1:8" ht="15" customHeight="1">
      <c r="A435" s="168" t="s">
        <v>2634</v>
      </c>
      <c r="B435" s="169" t="s">
        <v>1271</v>
      </c>
      <c r="C435" s="955" t="s">
        <v>171</v>
      </c>
      <c r="D435" s="955" t="s">
        <v>246</v>
      </c>
      <c r="E435" s="1007" t="s">
        <v>1917</v>
      </c>
      <c r="F435" s="1007"/>
      <c r="G435" s="1007" t="str">
        <f>+VLOOKUP(Data_Validation!$A435,BV_Data_An_Cour!$L:$Q,6,0)</f>
        <v>7-Dépenses</v>
      </c>
      <c r="H435" s="165"/>
    </row>
    <row r="436" spans="1:8" ht="15" customHeight="1">
      <c r="A436" s="168" t="s">
        <v>2472</v>
      </c>
      <c r="B436" s="169" t="s">
        <v>399</v>
      </c>
      <c r="C436" s="955" t="s">
        <v>175</v>
      </c>
      <c r="D436" s="955" t="s">
        <v>122</v>
      </c>
      <c r="E436" s="1007" t="s">
        <v>1917</v>
      </c>
      <c r="F436" s="1007"/>
      <c r="G436" s="1007" t="str">
        <f>+VLOOKUP(Data_Validation!$A436,BV_Data_An_Cour!$L:$Q,6,0)</f>
        <v>7-Dépenses</v>
      </c>
      <c r="H436" s="165"/>
    </row>
    <row r="437" spans="1:8" ht="15" customHeight="1">
      <c r="A437" s="167" t="s">
        <v>2473</v>
      </c>
      <c r="B437" s="166" t="s">
        <v>1391</v>
      </c>
      <c r="C437" s="955" t="s">
        <v>175</v>
      </c>
      <c r="D437" s="955" t="s">
        <v>122</v>
      </c>
      <c r="E437" s="1007" t="s">
        <v>1917</v>
      </c>
      <c r="F437" s="1007"/>
      <c r="G437" s="1007" t="e">
        <f>+VLOOKUP(Data_Validation!$A437,BV_Data_An_Cour!$L:$Q,6,0)</f>
        <v>#N/A</v>
      </c>
      <c r="H437" s="165"/>
    </row>
    <row r="438" spans="1:8" ht="15" customHeight="1">
      <c r="A438" s="166" t="s">
        <v>2675</v>
      </c>
      <c r="B438" s="166" t="s">
        <v>1374</v>
      </c>
      <c r="C438" s="955" t="s">
        <v>175</v>
      </c>
      <c r="D438" s="955" t="s">
        <v>121</v>
      </c>
      <c r="E438" s="1007" t="s">
        <v>1917</v>
      </c>
      <c r="F438" s="1007"/>
      <c r="G438" s="1007" t="str">
        <f>+VLOOKUP(Data_Validation!$A438,BV_Data_An_Cour!$L:$Q,6,0)</f>
        <v>7-Dépenses</v>
      </c>
      <c r="H438" s="165"/>
    </row>
    <row r="439" spans="1:8" ht="15" customHeight="1">
      <c r="A439" s="168" t="s">
        <v>2715</v>
      </c>
      <c r="B439" s="169" t="s">
        <v>1357</v>
      </c>
      <c r="C439" s="955" t="s">
        <v>175</v>
      </c>
      <c r="D439" s="955" t="s">
        <v>213</v>
      </c>
      <c r="E439" s="1007" t="s">
        <v>1917</v>
      </c>
      <c r="F439" s="1007"/>
      <c r="G439" s="1007" t="str">
        <f>+VLOOKUP(Data_Validation!$A439,BV_Data_An_Cour!$L:$Q,6,0)</f>
        <v>7-Dépenses</v>
      </c>
      <c r="H439" s="165"/>
    </row>
    <row r="440" spans="1:8" ht="15" customHeight="1">
      <c r="A440" s="166" t="s">
        <v>2765</v>
      </c>
      <c r="B440" s="166" t="s">
        <v>2624</v>
      </c>
      <c r="C440" s="955" t="s">
        <v>175</v>
      </c>
      <c r="D440" s="955" t="s">
        <v>112</v>
      </c>
      <c r="E440" s="1007" t="s">
        <v>1917</v>
      </c>
      <c r="F440" s="1007"/>
      <c r="G440" s="1007" t="str">
        <f>+VLOOKUP(Data_Validation!$A440,BV_Data_An_Cour!$L:$Q,6,0)</f>
        <v>7-Dépenses</v>
      </c>
      <c r="H440" s="165"/>
    </row>
    <row r="441" spans="1:8" ht="15" customHeight="1">
      <c r="A441" s="168" t="s">
        <v>2731</v>
      </c>
      <c r="B441" s="169" t="s">
        <v>1342</v>
      </c>
      <c r="C441" s="955" t="s">
        <v>175</v>
      </c>
      <c r="D441" s="955" t="s">
        <v>113</v>
      </c>
      <c r="E441" s="1007" t="s">
        <v>1917</v>
      </c>
      <c r="F441" s="1007"/>
      <c r="G441" s="1007" t="str">
        <f>+VLOOKUP(Data_Validation!$A441,BV_Data_An_Cour!$L:$Q,6,0)</f>
        <v>7-Dépenses</v>
      </c>
      <c r="H441" s="165"/>
    </row>
    <row r="442" spans="1:8" ht="15" customHeight="1">
      <c r="A442" s="167" t="s">
        <v>2800</v>
      </c>
      <c r="B442" s="166" t="s">
        <v>1249</v>
      </c>
      <c r="C442" s="955" t="s">
        <v>175</v>
      </c>
      <c r="D442" s="955" t="s">
        <v>114</v>
      </c>
      <c r="E442" s="1007" t="s">
        <v>1917</v>
      </c>
      <c r="F442" s="1007"/>
      <c r="G442" s="1007" t="str">
        <f>+VLOOKUP(Data_Validation!$A442,BV_Data_An_Cour!$L:$Q,6,0)</f>
        <v>7-Dépenses</v>
      </c>
      <c r="H442" s="165"/>
    </row>
    <row r="443" spans="1:8" ht="15" customHeight="1">
      <c r="A443" s="168" t="s">
        <v>2722</v>
      </c>
      <c r="B443" s="169" t="s">
        <v>1328</v>
      </c>
      <c r="C443" s="955" t="s">
        <v>175</v>
      </c>
      <c r="D443" s="955" t="s">
        <v>116</v>
      </c>
      <c r="E443" s="1007" t="s">
        <v>1917</v>
      </c>
      <c r="F443" s="1007"/>
      <c r="G443" s="1007" t="str">
        <f>+VLOOKUP(Data_Validation!$A443,BV_Data_An_Cour!$L:$Q,6,0)</f>
        <v>7-Dépenses</v>
      </c>
      <c r="H443" s="165"/>
    </row>
    <row r="444" spans="1:8" ht="15" customHeight="1">
      <c r="A444" s="167" t="s">
        <v>2667</v>
      </c>
      <c r="B444" s="166" t="s">
        <v>1252</v>
      </c>
      <c r="C444" s="955" t="s">
        <v>175</v>
      </c>
      <c r="D444" s="955" t="s">
        <v>119</v>
      </c>
      <c r="E444" s="1007" t="s">
        <v>1917</v>
      </c>
      <c r="F444" s="1007"/>
      <c r="G444" s="1007" t="str">
        <f>+VLOOKUP(Data_Validation!$A444,BV_Data_An_Cour!$L:$Q,6,0)</f>
        <v>7-Dépenses</v>
      </c>
      <c r="H444" s="165"/>
    </row>
    <row r="445" spans="1:8" ht="15" customHeight="1">
      <c r="A445" s="168" t="s">
        <v>2733</v>
      </c>
      <c r="B445" s="169" t="s">
        <v>1283</v>
      </c>
      <c r="C445" s="955" t="s">
        <v>175</v>
      </c>
      <c r="D445" s="955" t="s">
        <v>119</v>
      </c>
      <c r="E445" s="1007" t="s">
        <v>1917</v>
      </c>
      <c r="F445" s="1007"/>
      <c r="G445" s="1007" t="str">
        <f>+VLOOKUP(Data_Validation!$A445,BV_Data_An_Cour!$L:$Q,6,0)</f>
        <v>7-Dépenses</v>
      </c>
      <c r="H445" s="165"/>
    </row>
    <row r="446" spans="1:8" ht="15" customHeight="1">
      <c r="A446" s="167" t="s">
        <v>2578</v>
      </c>
      <c r="B446" s="166" t="s">
        <v>1164</v>
      </c>
      <c r="C446" s="955" t="s">
        <v>175</v>
      </c>
      <c r="D446" s="955" t="s">
        <v>117</v>
      </c>
      <c r="E446" s="1007" t="s">
        <v>1917</v>
      </c>
      <c r="F446" s="1007"/>
      <c r="G446" s="1007" t="str">
        <f>+VLOOKUP(Data_Validation!$A446,BV_Data_An_Cour!$L:$Q,6,0)</f>
        <v>7-Dépenses</v>
      </c>
      <c r="H446" s="165"/>
    </row>
    <row r="447" spans="1:8" ht="15" customHeight="1">
      <c r="A447" s="168" t="s">
        <v>2744</v>
      </c>
      <c r="B447" s="169" t="s">
        <v>1305</v>
      </c>
      <c r="C447" s="955" t="s">
        <v>175</v>
      </c>
      <c r="D447" s="955" t="s">
        <v>118</v>
      </c>
      <c r="E447" s="1007" t="s">
        <v>1917</v>
      </c>
      <c r="F447" s="1007"/>
      <c r="G447" s="1007" t="str">
        <f>+VLOOKUP(Data_Validation!$A447,BV_Data_An_Cour!$L:$Q,6,0)</f>
        <v>7-Dépenses</v>
      </c>
      <c r="H447" s="165"/>
    </row>
    <row r="448" spans="1:8" ht="15" customHeight="1">
      <c r="A448" s="167" t="s">
        <v>2598</v>
      </c>
      <c r="B448" s="166" t="s">
        <v>1157</v>
      </c>
      <c r="C448" s="955" t="s">
        <v>175</v>
      </c>
      <c r="D448" s="955" t="s">
        <v>127</v>
      </c>
      <c r="E448" s="1007" t="s">
        <v>1917</v>
      </c>
      <c r="F448" s="1007"/>
      <c r="G448" s="1007" t="str">
        <f>+VLOOKUP(Data_Validation!$A448,BV_Data_An_Cour!$L:$Q,6,0)</f>
        <v>7-Dépenses</v>
      </c>
      <c r="H448" s="165"/>
    </row>
    <row r="449" spans="1:29" ht="15" customHeight="1">
      <c r="A449" s="168" t="s">
        <v>2474</v>
      </c>
      <c r="B449" s="169" t="s">
        <v>932</v>
      </c>
      <c r="C449" s="955" t="s">
        <v>175</v>
      </c>
      <c r="D449" s="955" t="s">
        <v>128</v>
      </c>
      <c r="E449" s="1007" t="s">
        <v>1917</v>
      </c>
      <c r="F449" s="1007"/>
      <c r="G449" s="1007" t="e">
        <f>+VLOOKUP(Data_Validation!$A449,BV_Data_An_Cour!$L:$Q,6,0)</f>
        <v>#N/A</v>
      </c>
      <c r="H449" s="165"/>
    </row>
    <row r="450" spans="1:29" ht="15" customHeight="1">
      <c r="A450" s="167" t="s">
        <v>2573</v>
      </c>
      <c r="B450" s="166" t="s">
        <v>934</v>
      </c>
      <c r="C450" s="955" t="s">
        <v>175</v>
      </c>
      <c r="D450" s="955" t="s">
        <v>133</v>
      </c>
      <c r="E450" s="1007" t="s">
        <v>1917</v>
      </c>
      <c r="F450" s="1007"/>
      <c r="G450" s="1007" t="str">
        <f>+VLOOKUP(Data_Validation!$A450,BV_Data_An_Cour!$L:$Q,6,0)</f>
        <v>7-Dépenses</v>
      </c>
      <c r="H450" s="165"/>
    </row>
    <row r="451" spans="1:29" ht="15" customHeight="1">
      <c r="A451" s="168" t="s">
        <v>2631</v>
      </c>
      <c r="B451" s="169" t="s">
        <v>1186</v>
      </c>
      <c r="C451" s="955" t="s">
        <v>175</v>
      </c>
      <c r="D451" s="955" t="s">
        <v>123</v>
      </c>
      <c r="E451" s="1007" t="s">
        <v>1917</v>
      </c>
      <c r="F451" s="1007"/>
      <c r="G451" s="1007" t="str">
        <f>+VLOOKUP(Data_Validation!$A451,BV_Data_An_Cour!$L:$Q,6,0)</f>
        <v>7-Dépenses</v>
      </c>
      <c r="H451" s="165"/>
    </row>
    <row r="452" spans="1:29" ht="15" customHeight="1">
      <c r="A452" s="171" t="s">
        <v>2610</v>
      </c>
      <c r="B452" s="171" t="s">
        <v>1180</v>
      </c>
      <c r="C452" s="955" t="s">
        <v>175</v>
      </c>
      <c r="D452" s="955" t="s">
        <v>131</v>
      </c>
      <c r="E452" s="1007" t="s">
        <v>1917</v>
      </c>
      <c r="F452" s="1008"/>
      <c r="G452" s="1007" t="str">
        <f>+VLOOKUP(Data_Validation!$A452,BV_Data_An_Cour!$L:$Q,6,0)</f>
        <v>7-Dépenses</v>
      </c>
      <c r="H452" s="165"/>
    </row>
    <row r="453" spans="1:29" ht="15" customHeight="1">
      <c r="A453" s="950" t="s">
        <v>2739</v>
      </c>
      <c r="B453" s="171" t="s">
        <v>1286</v>
      </c>
      <c r="C453" s="955" t="s">
        <v>175</v>
      </c>
      <c r="D453" s="955" t="s">
        <v>124</v>
      </c>
      <c r="E453" s="1007" t="s">
        <v>1917</v>
      </c>
      <c r="F453" s="1008"/>
      <c r="G453" s="1007" t="str">
        <f>+VLOOKUP(Data_Validation!$A453,BV_Data_An_Cour!$L:$Q,6,0)</f>
        <v>7-Dépenses</v>
      </c>
      <c r="H453" s="165"/>
    </row>
    <row r="454" spans="1:29" ht="15" customHeight="1">
      <c r="A454" s="950" t="s">
        <v>2646</v>
      </c>
      <c r="B454" s="171" t="s">
        <v>1206</v>
      </c>
      <c r="C454" s="955" t="s">
        <v>175</v>
      </c>
      <c r="D454" s="955" t="s">
        <v>129</v>
      </c>
      <c r="E454" s="1007" t="s">
        <v>1917</v>
      </c>
      <c r="F454" s="1008"/>
      <c r="G454" s="1007" t="str">
        <f>+VLOOKUP(Data_Validation!$A454,BV_Data_An_Cour!$L:$Q,6,0)</f>
        <v>7-Dépenses</v>
      </c>
      <c r="H454" s="165"/>
    </row>
    <row r="455" spans="1:29" ht="15" customHeight="1">
      <c r="A455" s="950" t="s">
        <v>2630</v>
      </c>
      <c r="B455" s="171" t="s">
        <v>1154</v>
      </c>
      <c r="C455" s="955" t="s">
        <v>175</v>
      </c>
      <c r="D455" s="955" t="s">
        <v>130</v>
      </c>
      <c r="E455" s="1007" t="s">
        <v>1917</v>
      </c>
      <c r="F455" s="1008"/>
      <c r="G455" s="1007" t="str">
        <f>+VLOOKUP(Data_Validation!$A455,BV_Data_An_Cour!$L:$Q,6,0)</f>
        <v>7-Dépenses</v>
      </c>
      <c r="H455" s="165"/>
    </row>
    <row r="456" spans="1:29" ht="15" customHeight="1">
      <c r="A456" s="950" t="s">
        <v>2704</v>
      </c>
      <c r="B456" s="171" t="s">
        <v>1237</v>
      </c>
      <c r="C456" s="955" t="s">
        <v>175</v>
      </c>
      <c r="D456" s="955" t="s">
        <v>132</v>
      </c>
      <c r="E456" s="1007" t="s">
        <v>1917</v>
      </c>
      <c r="F456" s="1008"/>
      <c r="G456" s="1007" t="str">
        <f>+VLOOKUP(Data_Validation!$A456,BV_Data_An_Cour!$L:$Q,6,0)</f>
        <v>7-Dépenses</v>
      </c>
      <c r="H456" s="165"/>
    </row>
    <row r="457" spans="1:29" ht="15" customHeight="1">
      <c r="A457" s="950" t="s">
        <v>2475</v>
      </c>
      <c r="B457" s="171" t="s">
        <v>1294</v>
      </c>
      <c r="C457" s="955" t="s">
        <v>175</v>
      </c>
      <c r="D457" s="955" t="s">
        <v>125</v>
      </c>
      <c r="E457" s="1007" t="s">
        <v>1917</v>
      </c>
      <c r="F457" s="1008"/>
      <c r="G457" s="1007" t="str">
        <f>+VLOOKUP(Data_Validation!$A457,BV_Data_An_Cour!$L:$Q,6,0)</f>
        <v>7-Dépenses</v>
      </c>
      <c r="H457" s="165"/>
    </row>
    <row r="458" spans="1:29" ht="15" customHeight="1">
      <c r="A458" s="950" t="s">
        <v>2775</v>
      </c>
      <c r="B458" s="171" t="s">
        <v>1308</v>
      </c>
      <c r="C458" s="955" t="s">
        <v>175</v>
      </c>
      <c r="D458" s="955" t="s">
        <v>126</v>
      </c>
      <c r="E458" s="1007" t="s">
        <v>1917</v>
      </c>
      <c r="F458" s="1008"/>
      <c r="G458" s="1007" t="str">
        <f>+VLOOKUP(Data_Validation!$A458,BV_Data_An_Cour!$L:$Q,6,0)</f>
        <v>7-Dépenses</v>
      </c>
      <c r="H458" s="165"/>
    </row>
    <row r="459" spans="1:29" ht="15" customHeight="1">
      <c r="A459" s="167" t="s">
        <v>2718</v>
      </c>
      <c r="B459" s="166" t="s">
        <v>1333</v>
      </c>
      <c r="C459" s="955" t="s">
        <v>175</v>
      </c>
      <c r="D459" s="955" t="s">
        <v>260</v>
      </c>
      <c r="E459" s="1007" t="s">
        <v>1917</v>
      </c>
      <c r="F459" s="1008"/>
      <c r="G459" s="1007" t="str">
        <f>+VLOOKUP(Data_Validation!$A459,BV_Data_An_Cour!$L:$Q,6,0)</f>
        <v>7-Dépenses</v>
      </c>
      <c r="H459" s="165"/>
    </row>
    <row r="460" spans="1:29" ht="15" customHeight="1">
      <c r="A460" s="950" t="s">
        <v>2476</v>
      </c>
      <c r="B460" s="171" t="s">
        <v>936</v>
      </c>
      <c r="C460" s="955" t="s">
        <v>175</v>
      </c>
      <c r="D460" s="955" t="s">
        <v>250</v>
      </c>
      <c r="E460" s="1007" t="s">
        <v>1917</v>
      </c>
      <c r="F460" s="1008"/>
      <c r="G460" s="1007" t="e">
        <f>+VLOOKUP(Data_Validation!$A460,BV_Data_An_Cour!$L:$Q,6,0)</f>
        <v>#N/A</v>
      </c>
      <c r="H460" s="165"/>
    </row>
    <row r="461" spans="1:29" ht="15" customHeight="1">
      <c r="A461" s="950" t="s">
        <v>2671</v>
      </c>
      <c r="B461" s="171" t="s">
        <v>1316</v>
      </c>
      <c r="C461" s="955" t="s">
        <v>175</v>
      </c>
      <c r="D461" s="955" t="s">
        <v>244</v>
      </c>
      <c r="E461" s="1007" t="s">
        <v>1917</v>
      </c>
      <c r="F461" s="1008"/>
      <c r="G461" s="1007" t="str">
        <f>+VLOOKUP(Data_Validation!$A461,BV_Data_An_Cour!$L:$Q,6,0)</f>
        <v>7-Dépenses</v>
      </c>
      <c r="H461" s="165"/>
    </row>
    <row r="462" spans="1:29" ht="15" customHeight="1">
      <c r="A462" s="950" t="s">
        <v>2760</v>
      </c>
      <c r="B462" s="171" t="s">
        <v>1457</v>
      </c>
      <c r="C462" s="955" t="s">
        <v>175</v>
      </c>
      <c r="D462" s="955" t="s">
        <v>235</v>
      </c>
      <c r="E462" s="1007" t="s">
        <v>1917</v>
      </c>
      <c r="F462" s="1008"/>
      <c r="G462" s="1007" t="str">
        <f>+VLOOKUP(Data_Validation!$A462,BV_Data_An_Cour!$L:$Q,6,0)</f>
        <v>7-Dépenses</v>
      </c>
      <c r="H462" s="165"/>
    </row>
    <row r="463" spans="1:29" ht="15" customHeight="1">
      <c r="A463" s="950" t="s">
        <v>2660</v>
      </c>
      <c r="B463" s="171" t="s">
        <v>1352</v>
      </c>
      <c r="C463" s="955" t="s">
        <v>175</v>
      </c>
      <c r="D463" s="955" t="s">
        <v>242</v>
      </c>
      <c r="E463" s="1007" t="s">
        <v>1917</v>
      </c>
      <c r="F463" s="1008"/>
      <c r="G463" s="1007" t="str">
        <f>+VLOOKUP(Data_Validation!$A463,BV_Data_An_Cour!$L:$Q,6,0)</f>
        <v>7-Dépenses</v>
      </c>
      <c r="H463" s="165"/>
    </row>
    <row r="464" spans="1:29" ht="15" customHeight="1">
      <c r="A464" s="950" t="s">
        <v>2686</v>
      </c>
      <c r="B464" s="171" t="s">
        <v>1344</v>
      </c>
      <c r="C464" s="955" t="s">
        <v>175</v>
      </c>
      <c r="D464" s="955" t="s">
        <v>237</v>
      </c>
      <c r="E464" s="1007" t="s">
        <v>1917</v>
      </c>
      <c r="F464" s="1008"/>
      <c r="G464" s="1007" t="str">
        <f>+VLOOKUP(Data_Validation!$A464,BV_Data_An_Cour!$L:$Q,6,0)</f>
        <v>7-Dépenses</v>
      </c>
      <c r="H464" s="165"/>
      <c r="I464" s="2"/>
      <c r="J464" s="2"/>
      <c r="L464" s="2"/>
      <c r="M464" s="2"/>
      <c r="N464" s="2"/>
      <c r="O464" s="2"/>
      <c r="P464" s="2"/>
      <c r="Q464" s="2"/>
      <c r="R464" s="2"/>
      <c r="S464" s="2"/>
      <c r="T464" s="2"/>
      <c r="U464" s="2"/>
      <c r="V464" s="2"/>
      <c r="W464" s="2"/>
      <c r="X464" s="2"/>
      <c r="Y464" s="2"/>
      <c r="Z464" s="2"/>
      <c r="AA464" s="2"/>
      <c r="AB464" s="2"/>
      <c r="AC464" s="2"/>
    </row>
    <row r="465" spans="1:29" ht="15" customHeight="1">
      <c r="A465" s="950" t="s">
        <v>2665</v>
      </c>
      <c r="B465" s="171" t="s">
        <v>1278</v>
      </c>
      <c r="C465" s="955" t="s">
        <v>175</v>
      </c>
      <c r="D465" s="955" t="s">
        <v>239</v>
      </c>
      <c r="E465" s="1007" t="s">
        <v>1917</v>
      </c>
      <c r="F465" s="1008"/>
      <c r="G465" s="1007" t="str">
        <f>+VLOOKUP(Data_Validation!$A465,BV_Data_An_Cour!$L:$Q,6,0)</f>
        <v>7-Dépenses</v>
      </c>
      <c r="H465" s="165"/>
      <c r="I465" s="2"/>
      <c r="J465" s="2"/>
      <c r="L465" s="2"/>
      <c r="M465" s="2"/>
      <c r="N465" s="2"/>
      <c r="O465" s="2"/>
      <c r="P465" s="2"/>
      <c r="Q465" s="2"/>
      <c r="R465" s="2"/>
      <c r="S465" s="2"/>
      <c r="T465" s="2"/>
      <c r="U465" s="2"/>
      <c r="V465" s="2"/>
      <c r="W465" s="2"/>
      <c r="X465" s="2"/>
      <c r="Y465" s="2"/>
      <c r="Z465" s="2"/>
      <c r="AA465" s="2"/>
      <c r="AB465" s="2"/>
      <c r="AC465" s="2"/>
    </row>
    <row r="466" spans="1:29" ht="13.5" customHeight="1">
      <c r="A466" s="950" t="s">
        <v>2703</v>
      </c>
      <c r="B466" s="171" t="s">
        <v>1371</v>
      </c>
      <c r="C466" s="955" t="s">
        <v>175</v>
      </c>
      <c r="D466" s="955" t="s">
        <v>246</v>
      </c>
      <c r="E466" s="1007" t="s">
        <v>1917</v>
      </c>
      <c r="F466" s="1008"/>
      <c r="G466" s="1007" t="str">
        <f>+VLOOKUP(Data_Validation!$A466,BV_Data_An_Cour!$L:$Q,6,0)</f>
        <v>7-Dépenses</v>
      </c>
      <c r="H466" s="165"/>
    </row>
    <row r="467" spans="1:29" ht="15" customHeight="1">
      <c r="A467" s="950" t="s">
        <v>2054</v>
      </c>
      <c r="B467" s="171" t="s">
        <v>2053</v>
      </c>
      <c r="C467" s="955" t="s">
        <v>75</v>
      </c>
      <c r="D467" s="955" t="s">
        <v>140</v>
      </c>
      <c r="E467" s="1007" t="s">
        <v>1917</v>
      </c>
      <c r="F467" s="1008"/>
      <c r="G467" s="1007" t="str">
        <f>+VLOOKUP(Data_Validation!$A467,BV_Data_An_Cour!$L:$Q,6,0)</f>
        <v>8-Autres revenus</v>
      </c>
      <c r="H467" s="165"/>
    </row>
    <row r="468" spans="1:29" ht="15" customHeight="1">
      <c r="A468" s="167" t="s">
        <v>2139</v>
      </c>
      <c r="B468" s="171" t="s">
        <v>2138</v>
      </c>
      <c r="C468" s="955" t="s">
        <v>175</v>
      </c>
      <c r="D468" s="955" t="s">
        <v>183</v>
      </c>
      <c r="E468" s="1007" t="s">
        <v>1917</v>
      </c>
      <c r="F468" s="1008"/>
      <c r="G468" s="1007" t="str">
        <f>+VLOOKUP(Data_Validation!$A468,BV_Data_An_Cour!$L:$Q,6,0)</f>
        <v>8-Autres revenus</v>
      </c>
      <c r="H468" s="165"/>
    </row>
    <row r="469" spans="1:29" ht="15" customHeight="1">
      <c r="A469" s="950" t="s">
        <v>2078</v>
      </c>
      <c r="B469" s="171" t="s">
        <v>2077</v>
      </c>
      <c r="C469" s="955" t="s">
        <v>75</v>
      </c>
      <c r="D469" s="955" t="s">
        <v>137</v>
      </c>
      <c r="E469" s="1007" t="s">
        <v>1917</v>
      </c>
      <c r="F469" s="1008"/>
      <c r="G469" s="1007" t="str">
        <f>+VLOOKUP(Data_Validation!$A469,BV_Data_An_Cour!$L:$Q,6,0)</f>
        <v>8-Autres revenus</v>
      </c>
      <c r="H469" s="165"/>
    </row>
    <row r="470" spans="1:29" ht="15" customHeight="1">
      <c r="A470" s="950" t="s">
        <v>2076</v>
      </c>
      <c r="B470" s="171" t="s">
        <v>2170</v>
      </c>
      <c r="C470" s="955" t="s">
        <v>75</v>
      </c>
      <c r="D470" s="955" t="s">
        <v>97</v>
      </c>
      <c r="E470" s="1007" t="s">
        <v>1917</v>
      </c>
      <c r="F470" s="1008" t="s">
        <v>1920</v>
      </c>
      <c r="G470" s="1007" t="str">
        <f>+VLOOKUP(Data_Validation!$A470,BV_Data_An_Cour!$L:$Q,6,0)</f>
        <v>8-Autres revenus</v>
      </c>
      <c r="H470" s="165"/>
    </row>
    <row r="471" spans="1:29" ht="15" customHeight="1">
      <c r="A471" s="950" t="s">
        <v>2085</v>
      </c>
      <c r="B471" s="171" t="s">
        <v>2084</v>
      </c>
      <c r="C471" s="955" t="s">
        <v>144</v>
      </c>
      <c r="D471" s="955" t="s">
        <v>97</v>
      </c>
      <c r="E471" s="1007" t="s">
        <v>1917</v>
      </c>
      <c r="F471" s="1008" t="s">
        <v>1920</v>
      </c>
      <c r="G471" s="1007" t="str">
        <f>+VLOOKUP(Data_Validation!$A471,BV_Data_An_Cour!$L:$Q,6,0)</f>
        <v>8-Autres revenus</v>
      </c>
      <c r="H471" s="165"/>
      <c r="K471" s="2"/>
    </row>
    <row r="472" spans="1:29" ht="15" customHeight="1">
      <c r="A472" s="950" t="s">
        <v>2172</v>
      </c>
      <c r="B472" s="171" t="s">
        <v>2171</v>
      </c>
      <c r="C472" s="955" t="s">
        <v>75</v>
      </c>
      <c r="D472" s="955" t="s">
        <v>99</v>
      </c>
      <c r="E472" s="1007" t="s">
        <v>1917</v>
      </c>
      <c r="F472" s="1008" t="s">
        <v>1920</v>
      </c>
      <c r="G472" s="1007" t="str">
        <f>+VLOOKUP(Data_Validation!$A472,BV_Data_An_Cour!$L:$Q,6,0)</f>
        <v>8-Autres revenus</v>
      </c>
      <c r="H472" s="165"/>
      <c r="I472" s="2"/>
      <c r="J472" s="2"/>
      <c r="K472" s="2"/>
      <c r="L472" s="2"/>
      <c r="M472" s="2"/>
      <c r="N472" s="2"/>
      <c r="O472" s="2"/>
      <c r="P472" s="2"/>
      <c r="Q472" s="2"/>
      <c r="R472" s="2"/>
      <c r="S472" s="2"/>
      <c r="T472" s="2"/>
      <c r="U472" s="2"/>
      <c r="V472" s="2"/>
      <c r="W472" s="2"/>
      <c r="X472" s="2"/>
      <c r="Y472" s="2"/>
      <c r="Z472" s="2"/>
      <c r="AA472" s="2"/>
      <c r="AB472" s="2"/>
      <c r="AC472" s="2"/>
    </row>
    <row r="473" spans="1:29" ht="15" customHeight="1">
      <c r="A473" s="950" t="s">
        <v>2180</v>
      </c>
      <c r="B473" s="171" t="s">
        <v>2179</v>
      </c>
      <c r="C473" s="955" t="s">
        <v>144</v>
      </c>
      <c r="D473" s="955" t="s">
        <v>99</v>
      </c>
      <c r="E473" s="1007" t="s">
        <v>1917</v>
      </c>
      <c r="F473" s="1008" t="s">
        <v>1920</v>
      </c>
      <c r="G473" s="1007" t="str">
        <f>+VLOOKUP(Data_Validation!$A473,BV_Data_An_Cour!$L:$Q,6,0)</f>
        <v>8-Autres revenus</v>
      </c>
      <c r="H473" s="165"/>
    </row>
    <row r="474" spans="1:29" ht="15" customHeight="1">
      <c r="A474" s="950" t="s">
        <v>2093</v>
      </c>
      <c r="B474" s="171" t="s">
        <v>2092</v>
      </c>
      <c r="C474" s="955" t="s">
        <v>75</v>
      </c>
      <c r="D474" s="955" t="s">
        <v>98</v>
      </c>
      <c r="E474" s="1007" t="s">
        <v>1917</v>
      </c>
      <c r="F474" s="1008" t="s">
        <v>1920</v>
      </c>
      <c r="G474" s="1007" t="str">
        <f>+VLOOKUP(Data_Validation!$A474,BV_Data_An_Cour!$L:$Q,6,0)</f>
        <v>8-Autres revenus</v>
      </c>
      <c r="H474" s="165"/>
    </row>
    <row r="475" spans="1:29" ht="15" customHeight="1">
      <c r="A475" s="950" t="s">
        <v>2075</v>
      </c>
      <c r="B475" s="171" t="s">
        <v>2074</v>
      </c>
      <c r="C475" s="955" t="s">
        <v>75</v>
      </c>
      <c r="D475" s="955" t="s">
        <v>98</v>
      </c>
      <c r="E475" s="1007" t="s">
        <v>1917</v>
      </c>
      <c r="F475" s="1008" t="s">
        <v>1920</v>
      </c>
      <c r="G475" s="1007" t="str">
        <f>+VLOOKUP(Data_Validation!$A475,BV_Data_An_Cour!$L:$Q,6,0)</f>
        <v>8-Autres revenus</v>
      </c>
      <c r="H475" s="165"/>
    </row>
    <row r="476" spans="1:29" ht="15" customHeight="1">
      <c r="A476" s="950" t="s">
        <v>2089</v>
      </c>
      <c r="B476" s="171" t="s">
        <v>2088</v>
      </c>
      <c r="C476" s="955" t="s">
        <v>144</v>
      </c>
      <c r="D476" s="955" t="s">
        <v>98</v>
      </c>
      <c r="E476" s="1007" t="s">
        <v>1917</v>
      </c>
      <c r="F476" s="1008" t="s">
        <v>1920</v>
      </c>
      <c r="G476" s="1007" t="str">
        <f>+VLOOKUP(Data_Validation!$A476,BV_Data_An_Cour!$L:$Q,6,0)</f>
        <v>8-Autres revenus</v>
      </c>
      <c r="H476" s="165"/>
    </row>
    <row r="477" spans="1:29" ht="15" customHeight="1">
      <c r="A477" s="167" t="s">
        <v>2097</v>
      </c>
      <c r="B477" s="171" t="s">
        <v>2096</v>
      </c>
      <c r="C477" s="955" t="s">
        <v>144</v>
      </c>
      <c r="D477" s="955" t="s">
        <v>98</v>
      </c>
      <c r="E477" s="1007" t="s">
        <v>1917</v>
      </c>
      <c r="F477" s="1008" t="s">
        <v>1920</v>
      </c>
      <c r="G477" s="1007" t="str">
        <f>+VLOOKUP(Data_Validation!$A477,BV_Data_An_Cour!$L:$Q,6,0)</f>
        <v>8-Autres revenus</v>
      </c>
      <c r="H477" s="165"/>
    </row>
    <row r="478" spans="1:29" ht="15" customHeight="1">
      <c r="A478" s="950" t="s">
        <v>2081</v>
      </c>
      <c r="B478" s="171" t="s">
        <v>2080</v>
      </c>
      <c r="C478" s="955" t="s">
        <v>75</v>
      </c>
      <c r="D478" s="955" t="s">
        <v>141</v>
      </c>
      <c r="E478" s="1007" t="s">
        <v>1917</v>
      </c>
      <c r="F478" s="1008"/>
      <c r="G478" s="1007" t="str">
        <f>+VLOOKUP(Data_Validation!$A478,BV_Data_An_Cour!$L:$Q,6,0)</f>
        <v>8-Autres revenus</v>
      </c>
      <c r="H478" s="165"/>
      <c r="I478" s="2"/>
      <c r="J478" s="2"/>
      <c r="L478" s="2"/>
      <c r="M478" s="2"/>
      <c r="N478" s="2"/>
      <c r="O478" s="2"/>
      <c r="P478" s="2"/>
      <c r="Q478" s="2"/>
      <c r="R478" s="2"/>
      <c r="S478" s="2"/>
      <c r="T478" s="2"/>
      <c r="U478" s="2"/>
      <c r="V478" s="2"/>
      <c r="W478" s="2"/>
      <c r="X478" s="2"/>
      <c r="Y478" s="2"/>
      <c r="Z478" s="2"/>
      <c r="AA478" s="2"/>
      <c r="AB478" s="2"/>
      <c r="AC478" s="2"/>
    </row>
    <row r="479" spans="1:29" ht="15" customHeight="1">
      <c r="A479" s="950" t="s">
        <v>2063</v>
      </c>
      <c r="B479" s="171" t="s">
        <v>2062</v>
      </c>
      <c r="C479" s="955" t="s">
        <v>193</v>
      </c>
      <c r="D479" s="955" t="s">
        <v>255</v>
      </c>
      <c r="E479" s="1007" t="s">
        <v>1917</v>
      </c>
      <c r="F479" s="1008"/>
      <c r="G479" s="1007" t="str">
        <f>+VLOOKUP(Data_Validation!$A479,BV_Data_An_Cour!$L:$Q,6,0)</f>
        <v>8-Autres revenus</v>
      </c>
      <c r="H479" s="165"/>
      <c r="K479" s="2"/>
    </row>
    <row r="480" spans="1:29" ht="15" customHeight="1">
      <c r="A480" s="950" t="s">
        <v>2176</v>
      </c>
      <c r="B480" s="171" t="s">
        <v>2650</v>
      </c>
      <c r="C480" s="955" t="s">
        <v>193</v>
      </c>
      <c r="D480" s="955" t="s">
        <v>262</v>
      </c>
      <c r="E480" s="1007" t="s">
        <v>1917</v>
      </c>
      <c r="F480" s="1008"/>
      <c r="G480" s="1007" t="str">
        <f>+VLOOKUP(Data_Validation!$A480,BV_Data_An_Cour!$L:$Q,6,0)</f>
        <v>9-Autres déductions</v>
      </c>
      <c r="H480" s="165"/>
    </row>
    <row r="481" spans="1:29" ht="15" customHeight="1">
      <c r="A481" s="950" t="s">
        <v>2175</v>
      </c>
      <c r="B481" s="171" t="s">
        <v>2174</v>
      </c>
      <c r="C481" s="955" t="s">
        <v>193</v>
      </c>
      <c r="D481" s="955" t="s">
        <v>261</v>
      </c>
      <c r="E481" s="1007" t="s">
        <v>1917</v>
      </c>
      <c r="F481" s="1008"/>
      <c r="G481" s="1007" t="str">
        <f>+VLOOKUP(Data_Validation!$A481,BV_Data_An_Cour!$L:$Q,6,0)</f>
        <v>9-Autres déductions</v>
      </c>
      <c r="H481" s="165"/>
    </row>
    <row r="482" spans="1:29" ht="15" customHeight="1">
      <c r="A482" s="950" t="s">
        <v>2599</v>
      </c>
      <c r="B482" s="171" t="s">
        <v>1389</v>
      </c>
      <c r="C482" s="955" t="s">
        <v>193</v>
      </c>
      <c r="D482" s="955" t="s">
        <v>262</v>
      </c>
      <c r="E482" s="1007" t="s">
        <v>1917</v>
      </c>
      <c r="F482" s="1008"/>
      <c r="G482" s="1007" t="str">
        <f>+VLOOKUP(Data_Validation!$A482,BV_Data_An_Cour!$L:$Q,6,0)</f>
        <v>9-Autres déductions</v>
      </c>
      <c r="H482" s="165"/>
    </row>
    <row r="483" spans="1:29" ht="15" customHeight="1">
      <c r="A483" s="950" t="s">
        <v>2782</v>
      </c>
      <c r="B483" s="171" t="s">
        <v>1385</v>
      </c>
      <c r="C483" s="955" t="s">
        <v>75</v>
      </c>
      <c r="D483" s="955" t="s">
        <v>134</v>
      </c>
      <c r="E483" s="1007" t="s">
        <v>1917</v>
      </c>
      <c r="F483" s="1008"/>
      <c r="G483" s="1007" t="str">
        <f>+VLOOKUP(Data_Validation!$A483,BV_Data_An_Cour!$L:$Q,6,0)</f>
        <v>9-Autres déductions</v>
      </c>
      <c r="H483" s="165"/>
    </row>
    <row r="484" spans="1:29" ht="15" customHeight="1">
      <c r="A484" s="168" t="s">
        <v>2478</v>
      </c>
      <c r="B484" s="169" t="s">
        <v>2477</v>
      </c>
      <c r="C484" s="955" t="s">
        <v>1642</v>
      </c>
      <c r="D484" s="955"/>
      <c r="E484" s="1010" t="s">
        <v>1915</v>
      </c>
      <c r="F484" s="1008"/>
      <c r="G484" s="1007" t="str">
        <f>+VLOOKUP(Data_Validation!$A484,BV_Data_An_Cour!$L:$Q,6,0)</f>
        <v>10-Compte compteur</v>
      </c>
      <c r="H484" s="163"/>
    </row>
    <row r="485" spans="1:29" ht="15" customHeight="1">
      <c r="A485" s="168" t="s">
        <v>2480</v>
      </c>
      <c r="B485" s="169" t="s">
        <v>2479</v>
      </c>
      <c r="C485" s="955" t="s">
        <v>1642</v>
      </c>
      <c r="D485" s="955"/>
      <c r="E485" s="1010" t="s">
        <v>1915</v>
      </c>
      <c r="F485" s="1008"/>
      <c r="G485" s="1007" t="str">
        <f>+VLOOKUP(Data_Validation!$A485,BV_Data_An_Cour!$L:$Q,6,0)</f>
        <v>10-Compte compteur</v>
      </c>
      <c r="H485" s="165"/>
    </row>
    <row r="486" spans="1:29" ht="15" customHeight="1">
      <c r="A486" s="168" t="s">
        <v>2483</v>
      </c>
      <c r="B486" s="169" t="s">
        <v>2482</v>
      </c>
      <c r="C486" s="955" t="s">
        <v>75</v>
      </c>
      <c r="D486" s="955" t="s">
        <v>96</v>
      </c>
      <c r="E486" s="1010" t="s">
        <v>1915</v>
      </c>
      <c r="F486" s="1010"/>
      <c r="G486" s="1007" t="str">
        <f>+VLOOKUP(Data_Validation!$A486,BV_Data_An_Cour!$L:$Q,6,0)</f>
        <v>10-Compte compteur</v>
      </c>
      <c r="H486" s="165"/>
    </row>
    <row r="487" spans="1:29" ht="15" customHeight="1">
      <c r="A487" s="168" t="s">
        <v>2485</v>
      </c>
      <c r="B487" s="169" t="s">
        <v>2484</v>
      </c>
      <c r="C487" s="955" t="s">
        <v>75</v>
      </c>
      <c r="D487" s="955" t="s">
        <v>89</v>
      </c>
      <c r="E487" s="1010" t="s">
        <v>1915</v>
      </c>
      <c r="F487" s="1010"/>
      <c r="G487" s="1007" t="e">
        <f>+VLOOKUP(Data_Validation!$A487,BV_Data_An_Cour!$L:$Q,6,0)</f>
        <v>#N/A</v>
      </c>
      <c r="H487" s="165"/>
    </row>
    <row r="488" spans="1:29" ht="15" customHeight="1">
      <c r="A488" s="168" t="s">
        <v>2487</v>
      </c>
      <c r="B488" s="169" t="s">
        <v>2486</v>
      </c>
      <c r="C488" s="955" t="s">
        <v>75</v>
      </c>
      <c r="D488" s="955" t="s">
        <v>89</v>
      </c>
      <c r="E488" s="1010" t="s">
        <v>1915</v>
      </c>
      <c r="F488" s="1010"/>
      <c r="G488" s="1007" t="str">
        <f>+VLOOKUP(Data_Validation!$A488,BV_Data_An_Cour!$L:$Q,6,0)</f>
        <v>10-Compte compteur</v>
      </c>
      <c r="H488" s="165"/>
    </row>
    <row r="489" spans="1:29" ht="15" customHeight="1">
      <c r="A489" s="168" t="s">
        <v>2489</v>
      </c>
      <c r="B489" s="169" t="s">
        <v>2488</v>
      </c>
      <c r="C489" s="955" t="s">
        <v>75</v>
      </c>
      <c r="D489" s="955" t="s">
        <v>89</v>
      </c>
      <c r="E489" s="1010" t="s">
        <v>1915</v>
      </c>
      <c r="F489" s="1010"/>
      <c r="G489" s="1007" t="str">
        <f>+VLOOKUP(Data_Validation!$A489,BV_Data_An_Cour!$L:$Q,6,0)</f>
        <v>10-Compte compteur</v>
      </c>
      <c r="H489" s="165"/>
    </row>
    <row r="490" spans="1:29" ht="15" customHeight="1">
      <c r="A490" s="1022" t="s">
        <v>2491</v>
      </c>
      <c r="B490" s="1025" t="s">
        <v>2490</v>
      </c>
      <c r="C490" s="1021" t="s">
        <v>75</v>
      </c>
      <c r="D490" s="955" t="s">
        <v>89</v>
      </c>
      <c r="E490" s="1010" t="s">
        <v>1915</v>
      </c>
      <c r="F490" s="1010"/>
      <c r="G490" s="1007" t="e">
        <f>+VLOOKUP(Data_Validation!$A490,BV_Data_An_Cour!$L:$Q,6,0)</f>
        <v>#N/A</v>
      </c>
      <c r="H490" s="165"/>
    </row>
    <row r="491" spans="1:29" ht="15" customHeight="1">
      <c r="A491" s="168" t="s">
        <v>2493</v>
      </c>
      <c r="B491" s="169" t="s">
        <v>2492</v>
      </c>
      <c r="C491" s="955" t="s">
        <v>75</v>
      </c>
      <c r="D491" s="955" t="s">
        <v>89</v>
      </c>
      <c r="E491" s="1010" t="s">
        <v>1915</v>
      </c>
      <c r="F491" s="1010"/>
      <c r="G491" s="1007" t="str">
        <f>+VLOOKUP(Data_Validation!$A491,BV_Data_An_Cour!$L:$Q,6,0)</f>
        <v>10-Compte compteur</v>
      </c>
      <c r="H491" s="165"/>
    </row>
    <row r="492" spans="1:29" ht="15" customHeight="1">
      <c r="A492" s="168" t="s">
        <v>2495</v>
      </c>
      <c r="B492" s="169" t="s">
        <v>2494</v>
      </c>
      <c r="C492" s="955" t="s">
        <v>75</v>
      </c>
      <c r="D492" s="955" t="s">
        <v>89</v>
      </c>
      <c r="E492" s="1010" t="s">
        <v>1915</v>
      </c>
      <c r="F492" s="1010"/>
      <c r="G492" s="1007" t="e">
        <f>+VLOOKUP(Data_Validation!$A492,BV_Data_An_Cour!$L:$Q,6,0)</f>
        <v>#N/A</v>
      </c>
      <c r="H492" s="165"/>
    </row>
    <row r="493" spans="1:29" ht="15" customHeight="1">
      <c r="A493" s="168" t="s">
        <v>2497</v>
      </c>
      <c r="B493" s="169" t="s">
        <v>2496</v>
      </c>
      <c r="C493" s="955" t="s">
        <v>75</v>
      </c>
      <c r="D493" s="955" t="s">
        <v>89</v>
      </c>
      <c r="E493" s="1010" t="s">
        <v>1915</v>
      </c>
      <c r="F493" s="1010"/>
      <c r="G493" s="1007" t="e">
        <f>+VLOOKUP(Data_Validation!$A493,BV_Data_An_Cour!$L:$Q,6,0)</f>
        <v>#N/A</v>
      </c>
      <c r="H493" s="165"/>
    </row>
    <row r="494" spans="1:29" s="570" customFormat="1" ht="15" customHeight="1">
      <c r="A494" s="168" t="s">
        <v>2947</v>
      </c>
      <c r="B494" s="169" t="s">
        <v>2951</v>
      </c>
      <c r="C494" s="955" t="s">
        <v>75</v>
      </c>
      <c r="D494" s="955" t="s">
        <v>90</v>
      </c>
      <c r="E494" s="1010" t="s">
        <v>1915</v>
      </c>
      <c r="F494" s="1010"/>
      <c r="G494" s="1007" t="str">
        <f>+VLOOKUP(Data_Validation!$A494,BV_Data_An_Cour!$L:$Q,6,0)</f>
        <v>10-Compte compteur</v>
      </c>
      <c r="H494" s="165"/>
    </row>
    <row r="495" spans="1:29" ht="15" customHeight="1">
      <c r="A495" s="168" t="s">
        <v>2499</v>
      </c>
      <c r="B495" s="169" t="s">
        <v>2498</v>
      </c>
      <c r="C495" s="955" t="s">
        <v>75</v>
      </c>
      <c r="D495" s="955" t="s">
        <v>90</v>
      </c>
      <c r="E495" s="1010" t="s">
        <v>1915</v>
      </c>
      <c r="F495" s="1010"/>
      <c r="G495" s="1007" t="str">
        <f>+VLOOKUP(Data_Validation!$A495,BV_Data_An_Cour!$L:$Q,6,0)</f>
        <v>10-Compte compteur</v>
      </c>
      <c r="H495" s="165"/>
    </row>
    <row r="496" spans="1:29" ht="15" customHeight="1">
      <c r="A496" s="168" t="s">
        <v>2501</v>
      </c>
      <c r="B496" s="169" t="s">
        <v>2500</v>
      </c>
      <c r="C496" s="955" t="s">
        <v>75</v>
      </c>
      <c r="D496" s="955" t="s">
        <v>89</v>
      </c>
      <c r="E496" s="1010" t="s">
        <v>1915</v>
      </c>
      <c r="F496" s="1010"/>
      <c r="G496" s="1007" t="str">
        <f>+VLOOKUP(Data_Validation!$A496,BV_Data_An_Cour!$L:$Q,6,0)</f>
        <v>10-Compte compteur</v>
      </c>
      <c r="H496" s="165"/>
      <c r="I496" s="2"/>
      <c r="J496" s="2"/>
      <c r="L496" s="2"/>
      <c r="M496" s="2"/>
      <c r="N496" s="2"/>
      <c r="O496" s="2"/>
      <c r="P496" s="2"/>
      <c r="Q496" s="2"/>
      <c r="R496" s="2"/>
      <c r="S496" s="2"/>
      <c r="T496" s="2"/>
      <c r="U496" s="2"/>
      <c r="V496" s="2"/>
      <c r="W496" s="2"/>
      <c r="X496" s="2"/>
      <c r="Y496" s="2"/>
      <c r="Z496" s="2"/>
      <c r="AA496" s="2"/>
      <c r="AB496" s="2"/>
      <c r="AC496" s="2"/>
    </row>
    <row r="497" spans="1:8" ht="15" customHeight="1">
      <c r="A497" s="169" t="s">
        <v>2503</v>
      </c>
      <c r="B497" s="169" t="s">
        <v>2502</v>
      </c>
      <c r="C497" s="955" t="s">
        <v>75</v>
      </c>
      <c r="D497" s="955" t="s">
        <v>90</v>
      </c>
      <c r="E497" s="1010" t="s">
        <v>1915</v>
      </c>
      <c r="F497" s="1010"/>
      <c r="G497" s="1007" t="str">
        <f>+VLOOKUP(Data_Validation!$A497,BV_Data_An_Cour!$L:$Q,6,0)</f>
        <v>10-Compte compteur</v>
      </c>
      <c r="H497" s="165"/>
    </row>
    <row r="498" spans="1:8" ht="15" customHeight="1">
      <c r="A498" s="168" t="s">
        <v>2505</v>
      </c>
      <c r="B498" s="169" t="s">
        <v>2504</v>
      </c>
      <c r="C498" s="955" t="s">
        <v>75</v>
      </c>
      <c r="D498" s="955" t="s">
        <v>89</v>
      </c>
      <c r="E498" s="1010" t="s">
        <v>1915</v>
      </c>
      <c r="F498" s="1010"/>
      <c r="G498" s="1007" t="str">
        <f>+VLOOKUP(Data_Validation!$A498,BV_Data_An_Cour!$L:$Q,6,0)</f>
        <v>10-Compte compteur</v>
      </c>
      <c r="H498" s="165"/>
    </row>
    <row r="499" spans="1:8" ht="15" customHeight="1">
      <c r="A499" s="168" t="s">
        <v>2508</v>
      </c>
      <c r="B499" s="169" t="s">
        <v>2507</v>
      </c>
      <c r="C499" s="955" t="s">
        <v>75</v>
      </c>
      <c r="D499" s="955" t="s">
        <v>95</v>
      </c>
      <c r="E499" s="1010" t="s">
        <v>1915</v>
      </c>
      <c r="F499" s="1010"/>
      <c r="G499" s="1007" t="str">
        <f>+VLOOKUP(Data_Validation!$A499,BV_Data_An_Cour!$L:$Q,6,0)</f>
        <v>10-Compte compteur</v>
      </c>
      <c r="H499" s="165"/>
    </row>
    <row r="500" spans="1:8" ht="15" customHeight="1">
      <c r="A500" s="169" t="s">
        <v>2510</v>
      </c>
      <c r="B500" s="169" t="s">
        <v>2509</v>
      </c>
      <c r="C500" s="955" t="s">
        <v>75</v>
      </c>
      <c r="D500" s="955" t="s">
        <v>94</v>
      </c>
      <c r="E500" s="1010" t="s">
        <v>1915</v>
      </c>
      <c r="F500" s="1010"/>
      <c r="G500" s="1007" t="str">
        <f>+VLOOKUP(Data_Validation!$A500,BV_Data_An_Cour!$L:$Q,6,0)</f>
        <v>10-Compte compteur</v>
      </c>
      <c r="H500" s="165"/>
    </row>
    <row r="501" spans="1:8" ht="15" customHeight="1">
      <c r="A501" s="168" t="s">
        <v>2512</v>
      </c>
      <c r="B501" s="169" t="s">
        <v>2511</v>
      </c>
      <c r="C501" s="955" t="s">
        <v>144</v>
      </c>
      <c r="D501" s="955" t="s">
        <v>146</v>
      </c>
      <c r="E501" s="1010" t="s">
        <v>1915</v>
      </c>
      <c r="F501" s="1010"/>
      <c r="G501" s="1007" t="str">
        <f>+VLOOKUP(Data_Validation!$A501,BV_Data_An_Cour!$L:$Q,6,0)</f>
        <v>10-Compte compteur</v>
      </c>
      <c r="H501" s="165"/>
    </row>
    <row r="502" spans="1:8" ht="15" customHeight="1">
      <c r="A502" s="168" t="s">
        <v>2514</v>
      </c>
      <c r="B502" s="169" t="s">
        <v>2513</v>
      </c>
      <c r="C502" s="955" t="s">
        <v>144</v>
      </c>
      <c r="D502" s="955" t="s">
        <v>147</v>
      </c>
      <c r="E502" s="1010" t="s">
        <v>1915</v>
      </c>
      <c r="F502" s="1010"/>
      <c r="G502" s="1007" t="e">
        <f>+VLOOKUP(Data_Validation!$A502,BV_Data_An_Cour!$L:$Q,6,0)</f>
        <v>#N/A</v>
      </c>
      <c r="H502" s="165"/>
    </row>
    <row r="503" spans="1:8" ht="15" customHeight="1">
      <c r="A503" s="168" t="s">
        <v>2516</v>
      </c>
      <c r="B503" s="169" t="s">
        <v>2515</v>
      </c>
      <c r="C503" s="955" t="s">
        <v>144</v>
      </c>
      <c r="D503" s="955" t="s">
        <v>147</v>
      </c>
      <c r="E503" s="1010" t="s">
        <v>1915</v>
      </c>
      <c r="F503" s="1010"/>
      <c r="G503" s="1007" t="str">
        <f>+VLOOKUP(Data_Validation!$A503,BV_Data_An_Cour!$L:$Q,6,0)</f>
        <v>10-Compte compteur</v>
      </c>
      <c r="H503" s="165"/>
    </row>
    <row r="504" spans="1:8" ht="15" customHeight="1">
      <c r="A504" s="168" t="s">
        <v>2518</v>
      </c>
      <c r="B504" s="169" t="s">
        <v>2517</v>
      </c>
      <c r="C504" s="955" t="s">
        <v>144</v>
      </c>
      <c r="D504" s="955" t="s">
        <v>150</v>
      </c>
      <c r="E504" s="1010" t="s">
        <v>1915</v>
      </c>
      <c r="F504" s="1010"/>
      <c r="G504" s="1007" t="str">
        <f>+VLOOKUP(Data_Validation!$A504,BV_Data_An_Cour!$L:$Q,6,0)</f>
        <v>10-Compte compteur</v>
      </c>
      <c r="H504" s="165"/>
    </row>
    <row r="505" spans="1:8" ht="15" customHeight="1">
      <c r="A505" s="168" t="s">
        <v>2519</v>
      </c>
      <c r="B505" s="169" t="s">
        <v>2011</v>
      </c>
      <c r="C505" s="955" t="s">
        <v>155</v>
      </c>
      <c r="D505" s="955" t="s">
        <v>159</v>
      </c>
      <c r="E505" s="1010" t="s">
        <v>1915</v>
      </c>
      <c r="F505" s="1010"/>
      <c r="G505" s="1007" t="str">
        <f>+VLOOKUP(Data_Validation!$A505,BV_Data_An_Cour!$L:$Q,6,0)</f>
        <v>10-Compte compteur</v>
      </c>
      <c r="H505" s="165"/>
    </row>
    <row r="506" spans="1:8" ht="15" customHeight="1">
      <c r="A506" s="168" t="s">
        <v>2521</v>
      </c>
      <c r="B506" s="169" t="s">
        <v>2520</v>
      </c>
      <c r="C506" s="955" t="s">
        <v>155</v>
      </c>
      <c r="D506" s="955" t="s">
        <v>163</v>
      </c>
      <c r="E506" s="1010" t="s">
        <v>1915</v>
      </c>
      <c r="F506" s="1010"/>
      <c r="G506" s="1007" t="e">
        <f>+VLOOKUP(Data_Validation!$A506,BV_Data_An_Cour!$L:$Q,6,0)</f>
        <v>#N/A</v>
      </c>
      <c r="H506" s="165"/>
    </row>
    <row r="507" spans="1:8" ht="15" customHeight="1">
      <c r="A507" s="168" t="s">
        <v>2522</v>
      </c>
      <c r="B507" s="169" t="s">
        <v>2041</v>
      </c>
      <c r="C507" s="955" t="s">
        <v>155</v>
      </c>
      <c r="D507" s="955" t="s">
        <v>161</v>
      </c>
      <c r="E507" s="1010" t="s">
        <v>1915</v>
      </c>
      <c r="F507" s="1010"/>
      <c r="G507" s="1007" t="str">
        <f>+VLOOKUP(Data_Validation!$A507,BV_Data_An_Cour!$L:$Q,6,0)</f>
        <v>10-Compte compteur</v>
      </c>
      <c r="H507" s="165"/>
    </row>
    <row r="508" spans="1:8" ht="15" customHeight="1">
      <c r="A508" s="168" t="s">
        <v>2523</v>
      </c>
      <c r="B508" s="169" t="s">
        <v>2051</v>
      </c>
      <c r="C508" s="955" t="s">
        <v>155</v>
      </c>
      <c r="D508" s="955" t="s">
        <v>162</v>
      </c>
      <c r="E508" s="1010" t="s">
        <v>1915</v>
      </c>
      <c r="F508" s="1010"/>
      <c r="G508" s="1007" t="str">
        <f>+VLOOKUP(Data_Validation!$A508,BV_Data_An_Cour!$L:$Q,6,0)</f>
        <v>10-Compte compteur</v>
      </c>
      <c r="H508" s="165"/>
    </row>
    <row r="509" spans="1:8" ht="15" customHeight="1">
      <c r="A509" s="1016" t="s">
        <v>2525</v>
      </c>
      <c r="B509" s="1017" t="s">
        <v>2524</v>
      </c>
      <c r="C509" s="955" t="s">
        <v>155</v>
      </c>
      <c r="D509" s="955" t="s">
        <v>159</v>
      </c>
      <c r="E509" s="1010" t="s">
        <v>1915</v>
      </c>
      <c r="F509" s="1010"/>
      <c r="G509" s="1007" t="e">
        <f>+VLOOKUP(Data_Validation!$A509,BV_Data_An_Cour!$L:$Q,6,0)</f>
        <v>#N/A</v>
      </c>
      <c r="H509" s="165"/>
    </row>
    <row r="510" spans="1:8" ht="15" customHeight="1">
      <c r="A510" s="168" t="s">
        <v>2526</v>
      </c>
      <c r="B510" s="169" t="s">
        <v>2071</v>
      </c>
      <c r="C510" s="955" t="s">
        <v>175</v>
      </c>
      <c r="D510" s="955" t="s">
        <v>187</v>
      </c>
      <c r="E510" s="1010" t="s">
        <v>1915</v>
      </c>
      <c r="F510" s="1010"/>
      <c r="G510" s="1007" t="str">
        <f>+VLOOKUP(Data_Validation!$A510,BV_Data_An_Cour!$L:$Q,6,0)</f>
        <v>10-Compte compteur</v>
      </c>
      <c r="H510" s="165"/>
    </row>
    <row r="511" spans="1:8" ht="15" customHeight="1">
      <c r="A511" s="168" t="s">
        <v>2527</v>
      </c>
      <c r="B511" s="169" t="s">
        <v>2144</v>
      </c>
      <c r="C511" s="955" t="s">
        <v>155</v>
      </c>
      <c r="D511" s="955" t="s">
        <v>167</v>
      </c>
      <c r="E511" s="1010" t="s">
        <v>1915</v>
      </c>
      <c r="F511" s="1010"/>
      <c r="G511" s="1007" t="str">
        <f>+VLOOKUP(Data_Validation!$A511,BV_Data_An_Cour!$L:$Q,6,0)</f>
        <v>10-Compte compteur</v>
      </c>
      <c r="H511" s="165"/>
    </row>
    <row r="512" spans="1:8" ht="15" customHeight="1">
      <c r="A512" s="168" t="s">
        <v>2529</v>
      </c>
      <c r="B512" s="169" t="s">
        <v>2528</v>
      </c>
      <c r="C512" s="955" t="s">
        <v>155</v>
      </c>
      <c r="D512" s="955" t="s">
        <v>167</v>
      </c>
      <c r="E512" s="1010" t="s">
        <v>1915</v>
      </c>
      <c r="F512" s="1010"/>
      <c r="G512" s="1007" t="str">
        <f>+VLOOKUP(Data_Validation!$A512,BV_Data_An_Cour!$L:$Q,6,0)</f>
        <v>10-Compte compteur</v>
      </c>
      <c r="H512" s="165"/>
    </row>
    <row r="513" spans="1:11" ht="15" customHeight="1">
      <c r="A513" s="168" t="s">
        <v>2531</v>
      </c>
      <c r="B513" s="169" t="s">
        <v>2530</v>
      </c>
      <c r="C513" s="955" t="s">
        <v>155</v>
      </c>
      <c r="D513" s="955" t="s">
        <v>167</v>
      </c>
      <c r="E513" s="1010" t="s">
        <v>1915</v>
      </c>
      <c r="F513" s="1010"/>
      <c r="G513" s="1007" t="str">
        <f>+VLOOKUP(Data_Validation!$A513,BV_Data_An_Cour!$L:$Q,6,0)</f>
        <v>10-Compte compteur</v>
      </c>
      <c r="H513" s="165"/>
    </row>
    <row r="514" spans="1:11" ht="15" customHeight="1">
      <c r="A514" s="1016" t="s">
        <v>2533</v>
      </c>
      <c r="B514" s="1025" t="s">
        <v>2532</v>
      </c>
      <c r="C514" s="1021" t="s">
        <v>171</v>
      </c>
      <c r="D514" s="955" t="s">
        <v>172</v>
      </c>
      <c r="E514" s="1010" t="s">
        <v>1915</v>
      </c>
      <c r="F514" s="1010"/>
      <c r="G514" s="1007" t="str">
        <f>+VLOOKUP(Data_Validation!$A514,BV_Data_An_Cour!$L:$Q,6,0)</f>
        <v>10-Compte compteur</v>
      </c>
      <c r="H514" s="165"/>
    </row>
    <row r="515" spans="1:11" ht="15" customHeight="1">
      <c r="A515" s="168" t="s">
        <v>2535</v>
      </c>
      <c r="B515" s="169" t="s">
        <v>2534</v>
      </c>
      <c r="C515" s="955" t="s">
        <v>171</v>
      </c>
      <c r="D515" s="955" t="s">
        <v>172</v>
      </c>
      <c r="E515" s="1010" t="s">
        <v>1915</v>
      </c>
      <c r="F515" s="1010"/>
      <c r="G515" s="1007" t="str">
        <f>+VLOOKUP(Data_Validation!$A515,BV_Data_An_Cour!$L:$Q,6,0)</f>
        <v>10-Compte compteur</v>
      </c>
      <c r="H515" s="165"/>
    </row>
    <row r="516" spans="1:11" ht="15" customHeight="1">
      <c r="A516" s="1017" t="s">
        <v>2537</v>
      </c>
      <c r="B516" s="1026" t="s">
        <v>2536</v>
      </c>
      <c r="C516" s="955" t="s">
        <v>171</v>
      </c>
      <c r="D516" s="955" t="s">
        <v>172</v>
      </c>
      <c r="E516" s="1010" t="s">
        <v>1915</v>
      </c>
      <c r="F516" s="1010"/>
      <c r="G516" s="1007" t="str">
        <f>+VLOOKUP(Data_Validation!$A516,BV_Data_An_Cour!$L:$Q,6,0)</f>
        <v>10-Compte compteur</v>
      </c>
      <c r="H516" s="165"/>
    </row>
    <row r="517" spans="1:11" ht="15" customHeight="1">
      <c r="A517" s="1016" t="s">
        <v>2539</v>
      </c>
      <c r="B517" s="1025" t="s">
        <v>2538</v>
      </c>
      <c r="C517" s="1021" t="s">
        <v>175</v>
      </c>
      <c r="D517" s="955" t="s">
        <v>177</v>
      </c>
      <c r="E517" s="1010" t="s">
        <v>1915</v>
      </c>
      <c r="F517" s="1010"/>
      <c r="G517" s="1007" t="str">
        <f>+VLOOKUP(Data_Validation!$A517,BV_Data_An_Cour!$L:$Q,6,0)</f>
        <v>10-Compte compteur</v>
      </c>
      <c r="H517" s="165"/>
    </row>
    <row r="518" spans="1:11" ht="15" customHeight="1">
      <c r="A518" s="168" t="s">
        <v>2541</v>
      </c>
      <c r="B518" s="1025" t="s">
        <v>2540</v>
      </c>
      <c r="C518" s="1021" t="s">
        <v>175</v>
      </c>
      <c r="D518" s="955" t="s">
        <v>179</v>
      </c>
      <c r="E518" s="1010" t="s">
        <v>1915</v>
      </c>
      <c r="F518" s="1008"/>
      <c r="G518" s="1007" t="str">
        <f>+VLOOKUP(Data_Validation!$A518,BV_Data_An_Cour!$L:$Q,6,0)</f>
        <v>10-Compte compteur</v>
      </c>
      <c r="H518" s="165"/>
    </row>
    <row r="519" spans="1:11" ht="15" customHeight="1">
      <c r="A519" s="168" t="s">
        <v>2543</v>
      </c>
      <c r="B519" s="169" t="s">
        <v>2542</v>
      </c>
      <c r="C519" s="955" t="s">
        <v>175</v>
      </c>
      <c r="D519" s="955" t="s">
        <v>180</v>
      </c>
      <c r="E519" s="1010" t="s">
        <v>1915</v>
      </c>
      <c r="F519" s="1008"/>
      <c r="G519" s="1007" t="str">
        <f>+VLOOKUP(Data_Validation!$A519,BV_Data_An_Cour!$L:$Q,6,0)</f>
        <v>10-Compte compteur</v>
      </c>
      <c r="H519" s="165"/>
    </row>
    <row r="520" spans="1:11" ht="15" customHeight="1">
      <c r="A520" s="169" t="s">
        <v>2545</v>
      </c>
      <c r="B520" s="169" t="s">
        <v>2544</v>
      </c>
      <c r="C520" s="955" t="s">
        <v>175</v>
      </c>
      <c r="D520" s="955" t="s">
        <v>177</v>
      </c>
      <c r="E520" s="1010" t="s">
        <v>1915</v>
      </c>
      <c r="F520" s="1008"/>
      <c r="G520" s="1007" t="str">
        <f>+VLOOKUP(Data_Validation!$A520,BV_Data_An_Cour!$L:$Q,6,0)</f>
        <v>10-Compte compteur</v>
      </c>
      <c r="H520" s="165"/>
    </row>
    <row r="521" spans="1:11" ht="15" customHeight="1">
      <c r="A521" s="168" t="s">
        <v>2547</v>
      </c>
      <c r="B521" s="169" t="s">
        <v>2546</v>
      </c>
      <c r="C521" s="955" t="s">
        <v>175</v>
      </c>
      <c r="D521" s="955" t="s">
        <v>177</v>
      </c>
      <c r="E521" s="1010" t="s">
        <v>1915</v>
      </c>
      <c r="F521" s="1008"/>
      <c r="G521" s="1007" t="e">
        <f>+VLOOKUP(Data_Validation!$A521,BV_Data_An_Cour!$L:$Q,6,0)</f>
        <v>#N/A</v>
      </c>
      <c r="H521" s="165"/>
    </row>
    <row r="522" spans="1:11" ht="15" customHeight="1">
      <c r="A522" s="168" t="s">
        <v>2549</v>
      </c>
      <c r="B522" s="169" t="s">
        <v>2548</v>
      </c>
      <c r="C522" s="955" t="s">
        <v>175</v>
      </c>
      <c r="D522" s="955" t="s">
        <v>178</v>
      </c>
      <c r="E522" s="1010" t="s">
        <v>1915</v>
      </c>
      <c r="F522" s="1008"/>
      <c r="G522" s="1007" t="str">
        <f>+VLOOKUP(Data_Validation!$A522,BV_Data_An_Cour!$L:$Q,6,0)</f>
        <v>10-Compte compteur</v>
      </c>
      <c r="H522" s="165"/>
      <c r="K522" s="2"/>
    </row>
    <row r="523" spans="1:11" ht="15" customHeight="1">
      <c r="A523" s="953" t="s">
        <v>2551</v>
      </c>
      <c r="B523" s="958" t="s">
        <v>2550</v>
      </c>
      <c r="C523" s="955" t="s">
        <v>175</v>
      </c>
      <c r="D523" s="955" t="s">
        <v>178</v>
      </c>
      <c r="E523" s="1010" t="s">
        <v>1915</v>
      </c>
      <c r="F523" s="1008"/>
      <c r="G523" s="1007" t="str">
        <f>+VLOOKUP(Data_Validation!$A523,BV_Data_An_Cour!$L:$Q,6,0)</f>
        <v>10-Compte compteur</v>
      </c>
      <c r="H523" s="165"/>
    </row>
    <row r="524" spans="1:11" ht="15" customHeight="1">
      <c r="A524" s="953" t="s">
        <v>2553</v>
      </c>
      <c r="B524" s="958" t="s">
        <v>2552</v>
      </c>
      <c r="C524" s="955" t="s">
        <v>175</v>
      </c>
      <c r="D524" s="955" t="s">
        <v>178</v>
      </c>
      <c r="E524" s="1010" t="s">
        <v>1915</v>
      </c>
      <c r="F524" s="1008"/>
      <c r="G524" s="1007" t="str">
        <f>+VLOOKUP(Data_Validation!$A524,BV_Data_An_Cour!$L:$Q,6,0)</f>
        <v>10-Compte compteur</v>
      </c>
      <c r="H524" s="165"/>
    </row>
    <row r="525" spans="1:11" ht="15" customHeight="1">
      <c r="A525" s="953" t="s">
        <v>2555</v>
      </c>
      <c r="B525" s="958" t="s">
        <v>2554</v>
      </c>
      <c r="C525" s="955" t="s">
        <v>175</v>
      </c>
      <c r="D525" s="955" t="s">
        <v>181</v>
      </c>
      <c r="E525" s="1010" t="s">
        <v>1915</v>
      </c>
      <c r="F525" s="1008"/>
      <c r="G525" s="1007" t="str">
        <f>+VLOOKUP(Data_Validation!$A525,BV_Data_An_Cour!$L:$Q,6,0)</f>
        <v>10-Compte compteur</v>
      </c>
      <c r="H525" s="165"/>
    </row>
    <row r="526" spans="1:11" ht="15" customHeight="1">
      <c r="A526" s="953" t="s">
        <v>2557</v>
      </c>
      <c r="B526" s="958" t="s">
        <v>2556</v>
      </c>
      <c r="C526" s="955" t="s">
        <v>175</v>
      </c>
      <c r="D526" s="955" t="s">
        <v>182</v>
      </c>
      <c r="E526" s="1010" t="s">
        <v>1915</v>
      </c>
      <c r="F526" s="1008"/>
      <c r="G526" s="1007" t="str">
        <f>+VLOOKUP(Data_Validation!$A526,BV_Data_An_Cour!$L:$Q,6,0)</f>
        <v>10-Compte compteur</v>
      </c>
      <c r="H526" s="165"/>
    </row>
    <row r="527" spans="1:11" ht="15" customHeight="1">
      <c r="A527" s="953" t="s">
        <v>2558</v>
      </c>
      <c r="B527" s="958" t="s">
        <v>2034</v>
      </c>
      <c r="C527" s="955" t="s">
        <v>175</v>
      </c>
      <c r="D527" s="955" t="s">
        <v>186</v>
      </c>
      <c r="E527" s="1010" t="s">
        <v>1915</v>
      </c>
      <c r="F527" s="1008"/>
      <c r="G527" s="1007" t="str">
        <f>+VLOOKUP(Data_Validation!$A527,BV_Data_An_Cour!$L:$Q,6,0)</f>
        <v>10-Compte compteur</v>
      </c>
      <c r="H527" s="165"/>
    </row>
    <row r="528" spans="1:11" ht="15" customHeight="1">
      <c r="A528" s="1018" t="s">
        <v>2906</v>
      </c>
      <c r="B528" s="1012" t="s">
        <v>2905</v>
      </c>
      <c r="C528" s="955" t="s">
        <v>75</v>
      </c>
      <c r="D528" s="955" t="s">
        <v>90</v>
      </c>
      <c r="E528" s="1007" t="s">
        <v>1917</v>
      </c>
      <c r="F528" s="1008" t="s">
        <v>2858</v>
      </c>
      <c r="G528" s="1007" t="str">
        <f>+VLOOKUP(Data_Validation!$A528,BV_Data_An_Cour!$L:$Q,6,0)</f>
        <v>5-Ventes</v>
      </c>
      <c r="H528" s="165"/>
    </row>
    <row r="529" spans="1:11" ht="15" customHeight="1">
      <c r="A529" s="1018" t="s">
        <v>2908</v>
      </c>
      <c r="B529" s="1012" t="s">
        <v>2907</v>
      </c>
      <c r="C529" s="955" t="s">
        <v>75</v>
      </c>
      <c r="D529" s="955" t="s">
        <v>90</v>
      </c>
      <c r="E529" s="1010" t="s">
        <v>1915</v>
      </c>
      <c r="F529" s="1008"/>
      <c r="G529" s="1007" t="str">
        <f>+VLOOKUP(Data_Validation!$A529,BV_Data_An_Cour!$L:$Q,6,0)</f>
        <v>10-Compte compteur</v>
      </c>
      <c r="H529" s="165"/>
    </row>
    <row r="530" spans="1:11" ht="15" customHeight="1">
      <c r="A530" s="1018" t="s">
        <v>2910</v>
      </c>
      <c r="B530" s="1012" t="s">
        <v>2909</v>
      </c>
      <c r="C530" s="955" t="s">
        <v>75</v>
      </c>
      <c r="D530" s="955" t="s">
        <v>90</v>
      </c>
      <c r="E530" s="1007" t="s">
        <v>1917</v>
      </c>
      <c r="F530" s="1008"/>
      <c r="G530" s="1007" t="str">
        <f>+VLOOKUP(Data_Validation!$A530,BV_Data_An_Cour!$L:$Q,6,0)</f>
        <v>6-Coût des ventes</v>
      </c>
      <c r="H530" s="165"/>
    </row>
    <row r="531" spans="1:11" ht="15" customHeight="1">
      <c r="A531" s="950"/>
      <c r="B531" s="171"/>
      <c r="C531" s="955"/>
      <c r="D531" s="955"/>
      <c r="E531" s="1007"/>
      <c r="F531" s="1008"/>
      <c r="G531" s="1007">
        <f>+VLOOKUP(Data_Validation!$A531,BV_Data_An_Cour!$L:$Q,6,0)</f>
        <v>0</v>
      </c>
      <c r="H531" s="165"/>
    </row>
    <row r="532" spans="1:11" ht="15" customHeight="1">
      <c r="A532" s="950"/>
      <c r="B532" s="171"/>
      <c r="C532" s="955"/>
      <c r="D532" s="955"/>
      <c r="E532" s="1007"/>
      <c r="F532" s="1008"/>
      <c r="G532" s="1007">
        <f>+VLOOKUP(Data_Validation!$A532,BV_Data_An_Cour!$L:$Q,6,0)</f>
        <v>0</v>
      </c>
      <c r="H532" s="165"/>
    </row>
    <row r="533" spans="1:11" ht="15" customHeight="1">
      <c r="A533" s="950"/>
      <c r="B533" s="171"/>
      <c r="C533" s="955"/>
      <c r="D533" s="955"/>
      <c r="E533" s="1007"/>
      <c r="F533" s="1008"/>
      <c r="G533" s="1007">
        <f>+VLOOKUP(Data_Validation!$A533,BV_Data_An_Cour!$L:$Q,6,0)</f>
        <v>0</v>
      </c>
      <c r="H533" s="165"/>
    </row>
    <row r="534" spans="1:11" ht="15" customHeight="1">
      <c r="A534" s="950"/>
      <c r="B534" s="171"/>
      <c r="C534" s="955"/>
      <c r="D534" s="955"/>
      <c r="E534" s="1007"/>
      <c r="F534" s="1008"/>
      <c r="G534" s="1007">
        <f>+VLOOKUP(Data_Validation!$A534,BV_Data_An_Cour!$L:$Q,6,0)</f>
        <v>0</v>
      </c>
      <c r="H534" s="165"/>
    </row>
    <row r="535" spans="1:11" ht="15" customHeight="1">
      <c r="A535" s="950"/>
      <c r="B535" s="171"/>
      <c r="C535" s="955"/>
      <c r="D535" s="955"/>
      <c r="E535" s="1007"/>
      <c r="F535" s="1008"/>
      <c r="G535" s="1007">
        <f>+VLOOKUP(Data_Validation!$A535,BV_Data_An_Cour!$L:$Q,6,0)</f>
        <v>0</v>
      </c>
      <c r="H535" s="165"/>
      <c r="K535" s="2"/>
    </row>
    <row r="536" spans="1:11" ht="15" customHeight="1">
      <c r="A536" s="950"/>
      <c r="B536" s="171"/>
      <c r="C536" s="955"/>
      <c r="D536" s="955"/>
      <c r="E536" s="1007"/>
      <c r="F536" s="1008"/>
      <c r="G536" s="1007">
        <f>+VLOOKUP(Data_Validation!$A536,BV_Data_An_Cour!$L:$Q,6,0)</f>
        <v>0</v>
      </c>
      <c r="H536" s="165"/>
    </row>
    <row r="537" spans="1:11" ht="15" customHeight="1">
      <c r="A537" s="167"/>
      <c r="B537" s="171"/>
      <c r="C537" s="955"/>
      <c r="D537" s="955"/>
      <c r="E537" s="1007"/>
      <c r="F537" s="1008"/>
      <c r="G537" s="1007">
        <f>+VLOOKUP(Data_Validation!$A537,BV_Data_An_Cour!$L:$Q,6,0)</f>
        <v>0</v>
      </c>
      <c r="H537" s="165"/>
    </row>
    <row r="538" spans="1:11" ht="15" customHeight="1">
      <c r="A538" s="950"/>
      <c r="B538" s="171"/>
      <c r="C538" s="955"/>
      <c r="D538" s="955"/>
      <c r="E538" s="1007"/>
      <c r="F538" s="1008"/>
      <c r="G538" s="1007">
        <f>+VLOOKUP(Data_Validation!$A538,BV_Data_An_Cour!$L:$Q,6,0)</f>
        <v>0</v>
      </c>
      <c r="H538" s="165"/>
    </row>
    <row r="539" spans="1:11" ht="15" customHeight="1">
      <c r="A539" s="171"/>
      <c r="B539" s="171"/>
      <c r="C539" s="955"/>
      <c r="D539" s="955"/>
      <c r="E539" s="1007"/>
      <c r="F539" s="1008"/>
      <c r="G539" s="1007">
        <f>+VLOOKUP(Data_Validation!$A539,BV_Data_An_Cour!$L:$Q,6,0)</f>
        <v>0</v>
      </c>
      <c r="H539" s="165"/>
    </row>
    <row r="540" spans="1:11" ht="15" customHeight="1">
      <c r="A540" s="167"/>
      <c r="B540" s="166"/>
      <c r="C540" s="955"/>
      <c r="D540" s="955"/>
      <c r="E540" s="1007"/>
      <c r="F540" s="1008"/>
      <c r="G540" s="1007">
        <f>+VLOOKUP(Data_Validation!$A540,BV_Data_An_Cour!$L:$Q,6,0)</f>
        <v>0</v>
      </c>
      <c r="H540" s="165"/>
    </row>
    <row r="541" spans="1:11" ht="15" customHeight="1">
      <c r="A541" s="171"/>
      <c r="B541" s="171"/>
      <c r="C541" s="955"/>
      <c r="D541" s="955"/>
      <c r="E541" s="1007"/>
      <c r="F541" s="1008"/>
      <c r="G541" s="1007">
        <f>+VLOOKUP(Data_Validation!$A541,BV_Data_An_Cour!$L:$Q,6,0)</f>
        <v>0</v>
      </c>
      <c r="H541" s="165"/>
    </row>
    <row r="542" spans="1:11" ht="15" customHeight="1">
      <c r="A542" s="171"/>
      <c r="B542" s="171"/>
      <c r="C542" s="955"/>
      <c r="D542" s="955"/>
      <c r="E542" s="1007"/>
      <c r="F542" s="1008"/>
      <c r="G542" s="1007">
        <f>+VLOOKUP(Data_Validation!$A542,BV_Data_An_Cour!$L:$Q,6,0)</f>
        <v>0</v>
      </c>
      <c r="H542" s="165"/>
    </row>
    <row r="543" spans="1:11" ht="15" customHeight="1">
      <c r="A543" s="950"/>
      <c r="B543" s="171"/>
      <c r="C543" s="955"/>
      <c r="D543" s="955"/>
      <c r="E543" s="1007"/>
      <c r="F543" s="1008"/>
      <c r="G543" s="1007">
        <f>+VLOOKUP(Data_Validation!$A543,BV_Data_An_Cour!$L:$Q,6,0)</f>
        <v>0</v>
      </c>
      <c r="H543" s="165"/>
    </row>
    <row r="544" spans="1:11" ht="15" customHeight="1">
      <c r="A544" s="167"/>
      <c r="B544" s="166"/>
      <c r="C544" s="955"/>
      <c r="D544" s="955"/>
      <c r="E544" s="1007"/>
      <c r="F544" s="1008"/>
      <c r="G544" s="1007">
        <f>+VLOOKUP(Data_Validation!$A544,BV_Data_An_Cour!$L:$Q,6,0)</f>
        <v>0</v>
      </c>
      <c r="H544" s="165"/>
    </row>
    <row r="545" spans="1:8" ht="15" customHeight="1">
      <c r="A545" s="168"/>
      <c r="B545" s="169"/>
      <c r="C545" s="955"/>
      <c r="D545" s="955"/>
      <c r="E545" s="1007"/>
      <c r="F545" s="1008"/>
      <c r="G545" s="1007">
        <f>+VLOOKUP(Data_Validation!$A545,BV_Data_An_Cour!$L:$Q,6,0)</f>
        <v>0</v>
      </c>
      <c r="H545" s="165"/>
    </row>
    <row r="546" spans="1:8" ht="15" customHeight="1">
      <c r="A546" s="168"/>
      <c r="B546" s="169"/>
      <c r="C546" s="955"/>
      <c r="D546" s="955"/>
      <c r="E546" s="1007"/>
      <c r="F546" s="1008"/>
      <c r="G546" s="1007">
        <f>+VLOOKUP(Data_Validation!$A546,BV_Data_An_Cour!$L:$Q,6,0)</f>
        <v>0</v>
      </c>
      <c r="H546" s="165"/>
    </row>
    <row r="547" spans="1:8" ht="15" customHeight="1">
      <c r="A547" s="167"/>
      <c r="B547" s="171"/>
      <c r="C547" s="955"/>
      <c r="D547" s="955"/>
      <c r="E547" s="1007"/>
      <c r="F547" s="1008"/>
      <c r="G547" s="1007">
        <f>+VLOOKUP(Data_Validation!$A547,BV_Data_An_Cour!$L:$Q,6,0)</f>
        <v>0</v>
      </c>
      <c r="H547" s="165"/>
    </row>
    <row r="548" spans="1:8" ht="15" customHeight="1">
      <c r="A548" s="950"/>
      <c r="B548" s="171"/>
      <c r="C548" s="955"/>
      <c r="D548" s="955"/>
      <c r="E548" s="1007"/>
      <c r="F548" s="1008"/>
      <c r="G548" s="1007">
        <f>+VLOOKUP(Data_Validation!$A548,BV_Data_An_Cour!$L:$Q,6,0)</f>
        <v>0</v>
      </c>
      <c r="H548" s="165"/>
    </row>
    <row r="549" spans="1:8" ht="15" customHeight="1">
      <c r="A549" s="950"/>
      <c r="B549" s="171"/>
      <c r="C549" s="955"/>
      <c r="D549" s="955"/>
      <c r="E549" s="1007"/>
      <c r="F549" s="1008"/>
      <c r="G549" s="1007">
        <f>+VLOOKUP(Data_Validation!$A549,BV_Data_An_Cour!$L:$Q,6,0)</f>
        <v>0</v>
      </c>
      <c r="H549" s="165"/>
    </row>
    <row r="550" spans="1:8" ht="15" customHeight="1">
      <c r="A550" s="950"/>
      <c r="B550" s="171"/>
      <c r="C550" s="955"/>
      <c r="D550" s="955"/>
      <c r="E550" s="1007"/>
      <c r="F550" s="1008"/>
      <c r="G550" s="1007">
        <f>+VLOOKUP(Data_Validation!$A550,BV_Data_An_Cour!$L:$Q,6,0)</f>
        <v>0</v>
      </c>
      <c r="H550" s="165"/>
    </row>
    <row r="551" spans="1:8" ht="15" customHeight="1">
      <c r="A551" s="950"/>
      <c r="B551" s="171"/>
      <c r="C551" s="955"/>
      <c r="D551" s="955"/>
      <c r="E551" s="1007"/>
      <c r="F551" s="1008"/>
      <c r="G551" s="1007">
        <f>+VLOOKUP(Data_Validation!$A551,BV_Data_An_Cour!$L:$Q,6,0)</f>
        <v>0</v>
      </c>
      <c r="H551" s="165"/>
    </row>
    <row r="552" spans="1:8" ht="15" customHeight="1">
      <c r="A552" s="167"/>
      <c r="B552" s="166"/>
      <c r="C552" s="955"/>
      <c r="D552" s="955"/>
      <c r="E552" s="1007"/>
      <c r="F552" s="1008"/>
      <c r="G552" s="1007">
        <f>+VLOOKUP(Data_Validation!$A552,BV_Data_An_Cour!$L:$Q,6,0)</f>
        <v>0</v>
      </c>
      <c r="H552" s="165"/>
    </row>
    <row r="553" spans="1:8" ht="15" customHeight="1">
      <c r="A553" s="167"/>
      <c r="B553" s="166"/>
      <c r="C553" s="955"/>
      <c r="D553" s="955"/>
      <c r="E553" s="1007"/>
      <c r="F553" s="1008"/>
      <c r="G553" s="1007">
        <f>+VLOOKUP(Data_Validation!$A553,BV_Data_An_Cour!$L:$Q,6,0)</f>
        <v>0</v>
      </c>
      <c r="H553" s="165"/>
    </row>
    <row r="554" spans="1:8" ht="15" customHeight="1">
      <c r="A554" s="167"/>
      <c r="B554" s="166"/>
      <c r="C554" s="955"/>
      <c r="D554" s="955"/>
      <c r="E554" s="1007"/>
      <c r="F554" s="1008"/>
      <c r="G554" s="1007">
        <f>+VLOOKUP(Data_Validation!$A554,BV_Data_An_Cour!$L:$Q,6,0)</f>
        <v>0</v>
      </c>
      <c r="H554" s="165"/>
    </row>
    <row r="555" spans="1:8" ht="15" customHeight="1">
      <c r="A555" s="1027"/>
      <c r="B555" s="1028"/>
      <c r="C555" s="955"/>
      <c r="D555" s="955"/>
      <c r="E555" s="1007"/>
      <c r="F555" s="1008"/>
      <c r="G555" s="1007">
        <f>+VLOOKUP(Data_Validation!$A555,BV_Data_An_Cour!$L:$Q,6,0)</f>
        <v>0</v>
      </c>
      <c r="H555" s="165"/>
    </row>
    <row r="556" spans="1:8" ht="15" customHeight="1">
      <c r="A556" s="167"/>
      <c r="B556" s="166"/>
      <c r="C556" s="955"/>
      <c r="D556" s="955"/>
      <c r="E556" s="1007"/>
      <c r="F556" s="1008"/>
      <c r="G556" s="1007">
        <f>+VLOOKUP(Data_Validation!$A556,BV_Data_An_Cour!$L:$Q,6,0)</f>
        <v>0</v>
      </c>
      <c r="H556" s="165"/>
    </row>
    <row r="557" spans="1:8" ht="15" customHeight="1">
      <c r="A557" s="167"/>
      <c r="B557" s="166"/>
      <c r="C557" s="955"/>
      <c r="D557" s="955"/>
      <c r="E557" s="1007"/>
      <c r="F557" s="1008"/>
      <c r="G557" s="1007">
        <f>+VLOOKUP(Data_Validation!$A557,BV_Data_An_Cour!$L:$Q,6,0)</f>
        <v>0</v>
      </c>
      <c r="H557" s="165"/>
    </row>
    <row r="558" spans="1:8" ht="15" customHeight="1">
      <c r="A558" s="167"/>
      <c r="B558" s="166"/>
      <c r="C558" s="955"/>
      <c r="D558" s="955"/>
      <c r="E558" s="1007"/>
      <c r="F558" s="1008"/>
      <c r="G558" s="1007">
        <f>+VLOOKUP(Data_Validation!$A558,BV_Data_An_Cour!$L:$Q,6,0)</f>
        <v>0</v>
      </c>
      <c r="H558" s="165"/>
    </row>
    <row r="559" spans="1:8" ht="15" customHeight="1">
      <c r="A559" s="167"/>
      <c r="B559" s="166"/>
      <c r="C559" s="955"/>
      <c r="D559" s="955"/>
      <c r="E559" s="1007"/>
      <c r="F559" s="1008"/>
      <c r="G559" s="1007">
        <f>+VLOOKUP(Data_Validation!$A559,BV_Data_An_Cour!$L:$Q,6,0)</f>
        <v>0</v>
      </c>
      <c r="H559" s="165"/>
    </row>
    <row r="560" spans="1:8" ht="15" customHeight="1">
      <c r="A560" s="166"/>
      <c r="B560" s="166"/>
      <c r="C560" s="955"/>
      <c r="D560" s="955"/>
      <c r="E560" s="1007"/>
      <c r="F560" s="1008"/>
      <c r="G560" s="1007">
        <f>+VLOOKUP(Data_Validation!$A560,BV_Data_An_Cour!$L:$Q,6,0)</f>
        <v>0</v>
      </c>
      <c r="H560" s="165"/>
    </row>
    <row r="561" spans="1:29" ht="15" customHeight="1">
      <c r="A561" s="166"/>
      <c r="B561" s="166"/>
      <c r="C561" s="955"/>
      <c r="D561" s="955"/>
      <c r="E561" s="1007"/>
      <c r="F561" s="1008"/>
      <c r="G561" s="1007">
        <f>+VLOOKUP(Data_Validation!$A561,BV_Data_An_Cour!$L:$Q,6,0)</f>
        <v>0</v>
      </c>
      <c r="H561" s="165"/>
    </row>
    <row r="562" spans="1:29" ht="15" customHeight="1">
      <c r="A562" s="167"/>
      <c r="B562" s="166"/>
      <c r="C562" s="955"/>
      <c r="D562" s="955"/>
      <c r="E562" s="1007"/>
      <c r="F562" s="1008"/>
      <c r="G562" s="1007">
        <f>+VLOOKUP(Data_Validation!$A562,BV_Data_An_Cour!$L:$Q,6,0)</f>
        <v>0</v>
      </c>
      <c r="H562" s="165"/>
    </row>
    <row r="563" spans="1:29" ht="15" customHeight="1">
      <c r="A563" s="167"/>
      <c r="B563" s="166"/>
      <c r="C563" s="955"/>
      <c r="D563" s="955"/>
      <c r="E563" s="1007"/>
      <c r="F563" s="1008"/>
      <c r="G563" s="1007">
        <f>+VLOOKUP(Data_Validation!$A563,BV_Data_An_Cour!$L:$Q,6,0)</f>
        <v>0</v>
      </c>
      <c r="H563" s="165"/>
    </row>
    <row r="564" spans="1:29" ht="15" customHeight="1">
      <c r="A564" s="167"/>
      <c r="B564" s="166"/>
      <c r="C564" s="955"/>
      <c r="D564" s="955"/>
      <c r="E564" s="1007"/>
      <c r="F564" s="1008"/>
      <c r="G564" s="1007">
        <f>+VLOOKUP(Data_Validation!$A564,BV_Data_An_Cour!$L:$Q,6,0)</f>
        <v>0</v>
      </c>
      <c r="H564" s="165"/>
    </row>
    <row r="565" spans="1:29" ht="15" customHeight="1">
      <c r="A565" s="167"/>
      <c r="B565" s="166"/>
      <c r="C565" s="955"/>
      <c r="D565" s="955"/>
      <c r="E565" s="1007"/>
      <c r="F565" s="1008"/>
      <c r="G565" s="1007">
        <f>+VLOOKUP(Data_Validation!$A565,BV_Data_An_Cour!$L:$Q,6,0)</f>
        <v>0</v>
      </c>
      <c r="H565" s="165"/>
    </row>
    <row r="566" spans="1:29" ht="15" customHeight="1">
      <c r="A566" s="167"/>
      <c r="B566" s="166"/>
      <c r="C566" s="955"/>
      <c r="D566" s="955"/>
      <c r="E566" s="1007"/>
      <c r="F566" s="1008"/>
      <c r="G566" s="1007">
        <f>+VLOOKUP(Data_Validation!$A566,BV_Data_An_Cour!$L:$Q,6,0)</f>
        <v>0</v>
      </c>
      <c r="H566" s="165"/>
    </row>
    <row r="567" spans="1:29" ht="15" customHeight="1">
      <c r="A567" s="167"/>
      <c r="B567" s="166"/>
      <c r="C567" s="955"/>
      <c r="D567" s="955"/>
      <c r="E567" s="1007"/>
      <c r="F567" s="1008"/>
      <c r="G567" s="1007">
        <f>+VLOOKUP(Data_Validation!$A567,BV_Data_An_Cour!$L:$Q,6,0)</f>
        <v>0</v>
      </c>
      <c r="H567" s="165"/>
    </row>
    <row r="568" spans="1:29" ht="15" customHeight="1">
      <c r="A568" s="167"/>
      <c r="B568" s="166"/>
      <c r="C568" s="955"/>
      <c r="D568" s="955"/>
      <c r="E568" s="1007"/>
      <c r="F568" s="1008"/>
      <c r="G568" s="1007">
        <f>+VLOOKUP(Data_Validation!$A568,BV_Data_An_Cour!$L:$Q,6,0)</f>
        <v>0</v>
      </c>
      <c r="H568" s="165"/>
      <c r="I568" s="2"/>
      <c r="J568" s="2"/>
      <c r="L568" s="2"/>
      <c r="M568" s="2"/>
      <c r="N568" s="2"/>
      <c r="O568" s="2"/>
      <c r="P568" s="2"/>
      <c r="Q568" s="2"/>
      <c r="R568" s="2"/>
      <c r="S568" s="2"/>
      <c r="T568" s="2"/>
      <c r="U568" s="2"/>
      <c r="V568" s="2"/>
      <c r="W568" s="2"/>
      <c r="X568" s="2"/>
      <c r="Y568" s="2"/>
      <c r="Z568" s="2"/>
      <c r="AA568" s="2"/>
      <c r="AB568" s="2"/>
      <c r="AC568" s="2"/>
    </row>
    <row r="569" spans="1:29" ht="15" customHeight="1">
      <c r="A569" s="167"/>
      <c r="B569" s="166"/>
      <c r="C569" s="955"/>
      <c r="D569" s="955"/>
      <c r="E569" s="1007"/>
      <c r="F569" s="1008"/>
      <c r="G569" s="1007">
        <f>+VLOOKUP(Data_Validation!$A569,BV_Data_An_Cour!$L:$Q,6,0)</f>
        <v>0</v>
      </c>
      <c r="H569" s="165"/>
    </row>
    <row r="570" spans="1:29" ht="15" customHeight="1">
      <c r="A570" s="167"/>
      <c r="B570" s="166"/>
      <c r="C570" s="955"/>
      <c r="D570" s="955"/>
      <c r="E570" s="1007"/>
      <c r="F570" s="1008"/>
      <c r="G570" s="1007">
        <f>+VLOOKUP(Data_Validation!$A570,BV_Data_An_Cour!$L:$Q,6,0)</f>
        <v>0</v>
      </c>
      <c r="H570" s="165"/>
    </row>
    <row r="571" spans="1:29" ht="15" customHeight="1">
      <c r="A571" s="167"/>
      <c r="B571" s="166"/>
      <c r="C571" s="955"/>
      <c r="D571" s="955"/>
      <c r="E571" s="1007"/>
      <c r="F571" s="1008"/>
      <c r="G571" s="1007">
        <f>+VLOOKUP(Data_Validation!$A571,BV_Data_An_Cour!$L:$Q,6,0)</f>
        <v>0</v>
      </c>
      <c r="H571" s="165"/>
    </row>
    <row r="572" spans="1:29" ht="15" customHeight="1">
      <c r="A572" s="167"/>
      <c r="B572" s="166"/>
      <c r="C572" s="955"/>
      <c r="D572" s="955"/>
      <c r="E572" s="1007"/>
      <c r="F572" s="1008"/>
      <c r="G572" s="1007">
        <f>+VLOOKUP(Data_Validation!$A572,BV_Data_An_Cour!$L:$Q,6,0)</f>
        <v>0</v>
      </c>
      <c r="H572" s="165"/>
    </row>
    <row r="573" spans="1:29" ht="15" customHeight="1">
      <c r="A573" s="167"/>
      <c r="B573" s="166"/>
      <c r="C573" s="955"/>
      <c r="D573" s="955"/>
      <c r="E573" s="1007"/>
      <c r="F573" s="1008"/>
      <c r="G573" s="1007">
        <f>+VLOOKUP(Data_Validation!$A573,BV_Data_An_Cour!$L:$Q,6,0)</f>
        <v>0</v>
      </c>
      <c r="H573" s="165"/>
    </row>
    <row r="574" spans="1:29" ht="15" customHeight="1">
      <c r="A574" s="167"/>
      <c r="B574" s="166"/>
      <c r="C574" s="955"/>
      <c r="D574" s="955"/>
      <c r="E574" s="1007"/>
      <c r="F574" s="1008"/>
      <c r="G574" s="1007">
        <f>+VLOOKUP(Data_Validation!$A574,BV_Data_An_Cour!$L:$Q,6,0)</f>
        <v>0</v>
      </c>
      <c r="H574" s="165"/>
    </row>
    <row r="575" spans="1:29" ht="15" customHeight="1">
      <c r="A575" s="167"/>
      <c r="B575" s="166"/>
      <c r="C575" s="955"/>
      <c r="D575" s="955"/>
      <c r="E575" s="1007"/>
      <c r="F575" s="1008"/>
      <c r="G575" s="1007">
        <f>+VLOOKUP(Data_Validation!$A575,BV_Data_An_Cour!$L:$Q,6,0)</f>
        <v>0</v>
      </c>
      <c r="H575" s="165"/>
      <c r="K575" s="2"/>
    </row>
    <row r="576" spans="1:29" ht="15" customHeight="1">
      <c r="A576" s="167"/>
      <c r="B576" s="166"/>
      <c r="C576" s="955"/>
      <c r="D576" s="955"/>
      <c r="E576" s="1007"/>
      <c r="F576" s="1008"/>
      <c r="G576" s="1007">
        <f>+VLOOKUP(Data_Validation!$A576,BV_Data_An_Cour!$L:$Q,6,0)</f>
        <v>0</v>
      </c>
      <c r="H576" s="165"/>
    </row>
    <row r="577" spans="1:8" ht="15" customHeight="1">
      <c r="A577" s="167"/>
      <c r="B577" s="166"/>
      <c r="C577" s="955"/>
      <c r="D577" s="955"/>
      <c r="E577" s="1007"/>
      <c r="F577" s="1008"/>
      <c r="G577" s="1007">
        <f>+VLOOKUP(Data_Validation!$A577,BV_Data_An_Cour!$L:$Q,6,0)</f>
        <v>0</v>
      </c>
      <c r="H577" s="165"/>
    </row>
    <row r="578" spans="1:8" ht="15" customHeight="1">
      <c r="A578" s="167"/>
      <c r="B578" s="166"/>
      <c r="C578" s="955"/>
      <c r="D578" s="955"/>
      <c r="E578" s="1007"/>
      <c r="F578" s="1008"/>
      <c r="G578" s="1007">
        <f>+VLOOKUP(Data_Validation!$A578,BV_Data_An_Cour!$L:$Q,6,0)</f>
        <v>0</v>
      </c>
      <c r="H578" s="165"/>
    </row>
    <row r="579" spans="1:8" ht="15" customHeight="1">
      <c r="A579" s="167"/>
      <c r="B579" s="166"/>
      <c r="C579" s="955"/>
      <c r="D579" s="955"/>
      <c r="E579" s="1007"/>
      <c r="F579" s="1008"/>
      <c r="G579" s="1007">
        <f>+VLOOKUP(Data_Validation!$A579,BV_Data_An_Cour!$L:$Q,6,0)</f>
        <v>0</v>
      </c>
      <c r="H579" s="165"/>
    </row>
    <row r="580" spans="1:8" ht="15" customHeight="1">
      <c r="A580" s="166"/>
      <c r="B580" s="166"/>
      <c r="C580" s="955"/>
      <c r="D580" s="955"/>
      <c r="E580" s="1007"/>
      <c r="F580" s="1008"/>
      <c r="G580" s="1007">
        <f>+VLOOKUP(Data_Validation!$A580,BV_Data_An_Cour!$L:$Q,6,0)</f>
        <v>0</v>
      </c>
      <c r="H580" s="165"/>
    </row>
    <row r="581" spans="1:8" ht="15" customHeight="1">
      <c r="A581" s="166"/>
      <c r="B581" s="166"/>
      <c r="C581" s="955"/>
      <c r="D581" s="955"/>
      <c r="E581" s="1007"/>
      <c r="F581" s="1008"/>
      <c r="G581" s="1007">
        <f>+VLOOKUP(Data_Validation!$A581,BV_Data_An_Cour!$L:$Q,6,0)</f>
        <v>0</v>
      </c>
      <c r="H581" s="165"/>
    </row>
    <row r="582" spans="1:8" ht="15" customHeight="1">
      <c r="A582" s="167"/>
      <c r="B582" s="166"/>
      <c r="C582" s="955"/>
      <c r="D582" s="955"/>
      <c r="E582" s="1007"/>
      <c r="F582" s="1008"/>
      <c r="G582" s="1007">
        <f>+VLOOKUP(Data_Validation!$A582,BV_Data_An_Cour!$L:$Q,6,0)</f>
        <v>0</v>
      </c>
      <c r="H582" s="165"/>
    </row>
    <row r="583" spans="1:8" ht="15" customHeight="1">
      <c r="A583" s="167"/>
      <c r="B583" s="166"/>
      <c r="C583" s="955"/>
      <c r="D583" s="955"/>
      <c r="E583" s="1007"/>
      <c r="F583" s="1008"/>
      <c r="G583" s="1007">
        <f>+VLOOKUP(Data_Validation!$A583,BV_Data_An_Cour!$L:$Q,6,0)</f>
        <v>0</v>
      </c>
      <c r="H583" s="165"/>
    </row>
    <row r="584" spans="1:8" ht="15" customHeight="1">
      <c r="A584" s="167"/>
      <c r="B584" s="166"/>
      <c r="C584" s="955"/>
      <c r="D584" s="955"/>
      <c r="E584" s="1007"/>
      <c r="F584" s="1008"/>
      <c r="G584" s="1007">
        <f>+VLOOKUP(Data_Validation!$A584,BV_Data_An_Cour!$L:$Q,6,0)</f>
        <v>0</v>
      </c>
      <c r="H584" s="165"/>
    </row>
    <row r="585" spans="1:8" ht="15" customHeight="1">
      <c r="A585" s="167"/>
      <c r="B585" s="1029"/>
      <c r="C585" s="1021"/>
      <c r="D585" s="955"/>
      <c r="E585" s="1007"/>
      <c r="F585" s="1008"/>
      <c r="G585" s="1007">
        <f>+VLOOKUP(Data_Validation!$A585,BV_Data_An_Cour!$L:$Q,6,0)</f>
        <v>0</v>
      </c>
      <c r="H585" s="165"/>
    </row>
    <row r="586" spans="1:8" ht="15" customHeight="1">
      <c r="A586" s="167"/>
      <c r="B586" s="166"/>
      <c r="C586" s="955"/>
      <c r="D586" s="955"/>
      <c r="E586" s="1007"/>
      <c r="F586" s="1008"/>
      <c r="G586" s="1007">
        <f>+VLOOKUP(Data_Validation!$A586,BV_Data_An_Cour!$L:$Q,6,0)</f>
        <v>0</v>
      </c>
      <c r="H586" s="165"/>
    </row>
    <row r="587" spans="1:8" ht="15" customHeight="1">
      <c r="A587" s="167"/>
      <c r="B587" s="166"/>
      <c r="C587" s="955"/>
      <c r="D587" s="955"/>
      <c r="E587" s="1007"/>
      <c r="F587" s="1008"/>
      <c r="G587" s="1007">
        <f>+VLOOKUP(Data_Validation!$A587,BV_Data_An_Cour!$L:$Q,6,0)</f>
        <v>0</v>
      </c>
      <c r="H587" s="165"/>
    </row>
    <row r="588" spans="1:8" ht="15" customHeight="1">
      <c r="A588" s="167"/>
      <c r="B588" s="166"/>
      <c r="C588" s="955"/>
      <c r="D588" s="955"/>
      <c r="E588" s="1007"/>
      <c r="F588" s="1008"/>
      <c r="G588" s="1007">
        <f>+VLOOKUP(Data_Validation!$A588,BV_Data_An_Cour!$L:$Q,6,0)</f>
        <v>0</v>
      </c>
      <c r="H588" s="165"/>
    </row>
    <row r="589" spans="1:8" ht="15" customHeight="1">
      <c r="A589" s="167"/>
      <c r="B589" s="166"/>
      <c r="C589" s="955"/>
      <c r="D589" s="955"/>
      <c r="E589" s="1007"/>
      <c r="F589" s="1008"/>
      <c r="G589" s="1007">
        <f>+VLOOKUP(Data_Validation!$A589,BV_Data_An_Cour!$L:$Q,6,0)</f>
        <v>0</v>
      </c>
      <c r="H589" s="165"/>
    </row>
    <row r="590" spans="1:8" ht="15" customHeight="1">
      <c r="A590" s="167"/>
      <c r="B590" s="166"/>
      <c r="C590" s="955"/>
      <c r="D590" s="955"/>
      <c r="E590" s="1007"/>
      <c r="F590" s="1008"/>
      <c r="G590" s="1007">
        <f>+VLOOKUP(Data_Validation!$A590,BV_Data_An_Cour!$L:$Q,6,0)</f>
        <v>0</v>
      </c>
      <c r="H590" s="165"/>
    </row>
    <row r="591" spans="1:8" ht="15" customHeight="1">
      <c r="A591" s="167"/>
      <c r="B591" s="166"/>
      <c r="C591" s="955"/>
      <c r="D591" s="955"/>
      <c r="E591" s="1007"/>
      <c r="F591" s="1008"/>
      <c r="G591" s="1007">
        <f>+VLOOKUP(Data_Validation!$A591,BV_Data_An_Cour!$L:$Q,6,0)</f>
        <v>0</v>
      </c>
      <c r="H591" s="165"/>
    </row>
    <row r="592" spans="1:8" ht="15" customHeight="1">
      <c r="A592" s="167"/>
      <c r="B592" s="166"/>
      <c r="C592" s="955"/>
      <c r="D592" s="955"/>
      <c r="E592" s="1007"/>
      <c r="F592" s="1008"/>
      <c r="G592" s="1007">
        <f>+VLOOKUP(Data_Validation!$A592,BV_Data_An_Cour!$L:$Q,6,0)</f>
        <v>0</v>
      </c>
      <c r="H592" s="165"/>
    </row>
    <row r="593" spans="1:29" ht="15" customHeight="1">
      <c r="A593" s="167"/>
      <c r="B593" s="166"/>
      <c r="C593" s="955"/>
      <c r="D593" s="955"/>
      <c r="E593" s="1007"/>
      <c r="F593" s="1008"/>
      <c r="G593" s="1007">
        <f>+VLOOKUP(Data_Validation!$A593,BV_Data_An_Cour!$L:$Q,6,0)</f>
        <v>0</v>
      </c>
      <c r="H593" s="165"/>
    </row>
    <row r="594" spans="1:29" ht="15" customHeight="1">
      <c r="A594" s="167"/>
      <c r="B594" s="166"/>
      <c r="C594" s="955"/>
      <c r="D594" s="955"/>
      <c r="E594" s="1007"/>
      <c r="F594" s="1008"/>
      <c r="G594" s="1007">
        <f>+VLOOKUP(Data_Validation!$A594,BV_Data_An_Cour!$L:$Q,6,0)</f>
        <v>0</v>
      </c>
      <c r="H594" s="165"/>
    </row>
    <row r="595" spans="1:29" ht="15" customHeight="1">
      <c r="A595" s="167"/>
      <c r="B595" s="166"/>
      <c r="C595" s="955"/>
      <c r="D595" s="955"/>
      <c r="E595" s="1007"/>
      <c r="F595" s="1008"/>
      <c r="G595" s="1007">
        <f>+VLOOKUP(Data_Validation!$A595,BV_Data_An_Cour!$L:$Q,6,0)</f>
        <v>0</v>
      </c>
      <c r="H595" s="165"/>
    </row>
    <row r="596" spans="1:29" ht="15" customHeight="1">
      <c r="A596" s="167"/>
      <c r="B596" s="166"/>
      <c r="C596" s="955"/>
      <c r="D596" s="955"/>
      <c r="E596" s="1007"/>
      <c r="F596" s="1008"/>
      <c r="G596" s="1007">
        <f>+VLOOKUP(Data_Validation!$A596,BV_Data_An_Cour!$L:$Q,6,0)</f>
        <v>0</v>
      </c>
      <c r="H596" s="165"/>
    </row>
    <row r="597" spans="1:29" ht="15" customHeight="1">
      <c r="A597" s="167"/>
      <c r="B597" s="166"/>
      <c r="C597" s="955"/>
      <c r="D597" s="955"/>
      <c r="E597" s="1007"/>
      <c r="F597" s="1008"/>
      <c r="G597" s="1007">
        <f>+VLOOKUP(Data_Validation!$A597,BV_Data_An_Cour!$L:$Q,6,0)</f>
        <v>0</v>
      </c>
      <c r="H597" s="165"/>
    </row>
    <row r="598" spans="1:29" ht="15" customHeight="1">
      <c r="A598" s="167"/>
      <c r="B598" s="166"/>
      <c r="C598" s="955"/>
      <c r="D598" s="955"/>
      <c r="E598" s="1007"/>
      <c r="F598" s="1008"/>
      <c r="G598" s="1007">
        <f>+VLOOKUP(Data_Validation!$A598,BV_Data_An_Cour!$L:$Q,6,0)</f>
        <v>0</v>
      </c>
      <c r="H598" s="165"/>
    </row>
    <row r="599" spans="1:29" ht="15" customHeight="1">
      <c r="A599" s="167"/>
      <c r="B599" s="166"/>
      <c r="C599" s="955"/>
      <c r="D599" s="955"/>
      <c r="E599" s="1007"/>
      <c r="F599" s="1008"/>
      <c r="G599" s="1007">
        <f>+VLOOKUP(Data_Validation!$A599,BV_Data_An_Cour!$L:$Q,6,0)</f>
        <v>0</v>
      </c>
      <c r="H599" s="165"/>
      <c r="I599" s="2"/>
      <c r="J599" s="2"/>
      <c r="L599" s="2"/>
      <c r="M599" s="2"/>
      <c r="N599" s="2"/>
      <c r="O599" s="2"/>
      <c r="P599" s="2"/>
      <c r="Q599" s="2"/>
      <c r="R599" s="2"/>
      <c r="S599" s="2"/>
      <c r="T599" s="2"/>
      <c r="U599" s="2"/>
      <c r="V599" s="2"/>
      <c r="W599" s="2"/>
      <c r="X599" s="2"/>
      <c r="Y599" s="2"/>
      <c r="Z599" s="2"/>
      <c r="AA599" s="2"/>
      <c r="AB599" s="2"/>
      <c r="AC599" s="2"/>
    </row>
    <row r="600" spans="1:29" ht="15" customHeight="1">
      <c r="A600" s="167"/>
      <c r="B600" s="166"/>
      <c r="C600" s="955"/>
      <c r="D600" s="955"/>
      <c r="E600" s="1007"/>
      <c r="F600" s="1008"/>
      <c r="G600" s="1007">
        <f>+VLOOKUP(Data_Validation!$A600,BV_Data_An_Cour!$L:$Q,6,0)</f>
        <v>0</v>
      </c>
      <c r="H600" s="165"/>
    </row>
    <row r="601" spans="1:29" ht="15" customHeight="1">
      <c r="A601" s="167"/>
      <c r="B601" s="166"/>
      <c r="C601" s="955"/>
      <c r="D601" s="955"/>
      <c r="E601" s="1007"/>
      <c r="F601" s="1008"/>
      <c r="G601" s="1007">
        <f>+VLOOKUP(Data_Validation!$A601,BV_Data_An_Cour!$L:$Q,6,0)</f>
        <v>0</v>
      </c>
      <c r="H601" s="165"/>
    </row>
    <row r="602" spans="1:29" ht="15" customHeight="1">
      <c r="A602" s="167"/>
      <c r="B602" s="166"/>
      <c r="C602" s="955"/>
      <c r="D602" s="955"/>
      <c r="E602" s="1007"/>
      <c r="F602" s="1008"/>
      <c r="G602" s="1007">
        <f>+VLOOKUP(Data_Validation!$A602,BV_Data_An_Cour!$L:$Q,6,0)</f>
        <v>0</v>
      </c>
      <c r="H602" s="165"/>
    </row>
    <row r="603" spans="1:29" ht="15" customHeight="1">
      <c r="A603" s="167"/>
      <c r="B603" s="166"/>
      <c r="C603" s="955"/>
      <c r="D603" s="955"/>
      <c r="E603" s="1007"/>
      <c r="F603" s="1008"/>
      <c r="G603" s="1007">
        <f>+VLOOKUP(Data_Validation!$A603,BV_Data_An_Cour!$L:$Q,6,0)</f>
        <v>0</v>
      </c>
      <c r="H603" s="165"/>
    </row>
    <row r="604" spans="1:29" ht="15" customHeight="1">
      <c r="A604" s="167"/>
      <c r="B604" s="166"/>
      <c r="C604" s="955"/>
      <c r="D604" s="955"/>
      <c r="E604" s="1007"/>
      <c r="F604" s="1008"/>
      <c r="G604" s="1007">
        <f>+VLOOKUP(Data_Validation!$A604,BV_Data_An_Cour!$L:$Q,6,0)</f>
        <v>0</v>
      </c>
      <c r="H604" s="165"/>
    </row>
    <row r="605" spans="1:29" ht="15" customHeight="1">
      <c r="A605" s="167"/>
      <c r="B605" s="166"/>
      <c r="C605" s="955"/>
      <c r="D605" s="955"/>
      <c r="E605" s="1007"/>
      <c r="F605" s="1008"/>
      <c r="G605" s="1007">
        <f>+VLOOKUP(Data_Validation!$A605,BV_Data_An_Cour!$L:$Q,6,0)</f>
        <v>0</v>
      </c>
      <c r="H605" s="165"/>
    </row>
    <row r="606" spans="1:29" ht="15" customHeight="1">
      <c r="A606" s="167"/>
      <c r="B606" s="166"/>
      <c r="C606" s="955"/>
      <c r="D606" s="955"/>
      <c r="E606" s="1007"/>
      <c r="F606" s="1008"/>
      <c r="G606" s="1007">
        <f>+VLOOKUP(Data_Validation!$A606,BV_Data_An_Cour!$L:$Q,6,0)</f>
        <v>0</v>
      </c>
      <c r="H606" s="165"/>
    </row>
    <row r="607" spans="1:29" ht="15" customHeight="1">
      <c r="A607" s="167"/>
      <c r="B607" s="166"/>
      <c r="C607" s="955"/>
      <c r="D607" s="955"/>
      <c r="E607" s="1007"/>
      <c r="F607" s="1008"/>
      <c r="G607" s="1007">
        <f>+VLOOKUP(Data_Validation!$A607,BV_Data_An_Cour!$L:$Q,6,0)</f>
        <v>0</v>
      </c>
      <c r="H607" s="165"/>
    </row>
    <row r="608" spans="1:29" ht="15" customHeight="1">
      <c r="A608" s="167"/>
      <c r="B608" s="166"/>
      <c r="C608" s="955"/>
      <c r="D608" s="955"/>
      <c r="E608" s="1007"/>
      <c r="F608" s="1008"/>
      <c r="G608" s="1007">
        <f>+VLOOKUP(Data_Validation!$A608,BV_Data_An_Cour!$L:$Q,6,0)</f>
        <v>0</v>
      </c>
      <c r="H608" s="165"/>
    </row>
    <row r="609" spans="1:8" ht="15" customHeight="1">
      <c r="A609" s="167"/>
      <c r="B609" s="166"/>
      <c r="C609" s="955"/>
      <c r="D609" s="955"/>
      <c r="E609" s="1007"/>
      <c r="F609" s="1008"/>
      <c r="G609" s="1007">
        <f>+VLOOKUP(Data_Validation!$A609,BV_Data_An_Cour!$L:$Q,6,0)</f>
        <v>0</v>
      </c>
      <c r="H609" s="165"/>
    </row>
    <row r="610" spans="1:8" ht="15" customHeight="1">
      <c r="A610" s="167"/>
      <c r="B610" s="166"/>
      <c r="C610" s="955"/>
      <c r="D610" s="955"/>
      <c r="E610" s="1007"/>
      <c r="F610" s="1008"/>
      <c r="G610" s="1007">
        <f>+VLOOKUP(Data_Validation!$A610,BV_Data_An_Cour!$L:$Q,6,0)</f>
        <v>0</v>
      </c>
      <c r="H610" s="165"/>
    </row>
    <row r="611" spans="1:8" ht="15" customHeight="1">
      <c r="A611" s="167"/>
      <c r="B611" s="166"/>
      <c r="C611" s="955"/>
      <c r="D611" s="955"/>
      <c r="E611" s="1007"/>
      <c r="F611" s="1008"/>
      <c r="G611" s="1007">
        <f>+VLOOKUP(Data_Validation!$A611,BV_Data_An_Cour!$L:$Q,6,0)</f>
        <v>0</v>
      </c>
      <c r="H611" s="165"/>
    </row>
    <row r="612" spans="1:8" ht="15" customHeight="1">
      <c r="A612" s="167"/>
      <c r="B612" s="166"/>
      <c r="C612" s="955"/>
      <c r="D612" s="955"/>
      <c r="E612" s="1007"/>
      <c r="F612" s="1008"/>
      <c r="G612" s="1007">
        <f>+VLOOKUP(Data_Validation!$A612,BV_Data_An_Cour!$L:$Q,6,0)</f>
        <v>0</v>
      </c>
      <c r="H612" s="165"/>
    </row>
    <row r="613" spans="1:8" ht="15" customHeight="1">
      <c r="A613" s="167"/>
      <c r="B613" s="1028"/>
      <c r="C613" s="955"/>
      <c r="D613" s="955"/>
      <c r="E613" s="1007"/>
      <c r="F613" s="1008"/>
      <c r="G613" s="1007">
        <f>+VLOOKUP(Data_Validation!$A613,BV_Data_An_Cour!$L:$Q,6,0)</f>
        <v>0</v>
      </c>
      <c r="H613" s="165"/>
    </row>
    <row r="614" spans="1:8" ht="15" customHeight="1">
      <c r="A614" s="167"/>
      <c r="B614" s="1028"/>
      <c r="C614" s="955"/>
      <c r="D614" s="955"/>
      <c r="E614" s="1007"/>
      <c r="F614" s="1008"/>
      <c r="G614" s="1007">
        <f>+VLOOKUP(Data_Validation!$A614,BV_Data_An_Cour!$L:$Q,6,0)</f>
        <v>0</v>
      </c>
      <c r="H614" s="165"/>
    </row>
    <row r="615" spans="1:8" ht="15" customHeight="1">
      <c r="A615" s="167"/>
      <c r="B615" s="166"/>
      <c r="C615" s="955"/>
      <c r="D615" s="955"/>
      <c r="E615" s="1007"/>
      <c r="F615" s="1008"/>
      <c r="G615" s="1007">
        <f>+VLOOKUP(Data_Validation!$A615,BV_Data_An_Cour!$L:$Q,6,0)</f>
        <v>0</v>
      </c>
      <c r="H615" s="165"/>
    </row>
    <row r="616" spans="1:8" ht="15" customHeight="1">
      <c r="A616" s="167"/>
      <c r="B616" s="166"/>
      <c r="C616" s="955"/>
      <c r="D616" s="955"/>
      <c r="E616" s="1007"/>
      <c r="F616" s="1008"/>
      <c r="G616" s="1007">
        <f>+VLOOKUP(Data_Validation!$A616,BV_Data_An_Cour!$L:$Q,6,0)</f>
        <v>0</v>
      </c>
      <c r="H616" s="165"/>
    </row>
    <row r="617" spans="1:8" ht="15" customHeight="1">
      <c r="A617" s="167"/>
      <c r="B617" s="166"/>
      <c r="C617" s="955"/>
      <c r="D617" s="955"/>
      <c r="E617" s="1007"/>
      <c r="F617" s="1008"/>
      <c r="G617" s="1007">
        <f>+VLOOKUP(Data_Validation!$A617,BV_Data_An_Cour!$L:$Q,6,0)</f>
        <v>0</v>
      </c>
      <c r="H617" s="165"/>
    </row>
    <row r="618" spans="1:8" ht="15" customHeight="1">
      <c r="A618" s="167"/>
      <c r="B618" s="166"/>
      <c r="C618" s="955"/>
      <c r="D618" s="955"/>
      <c r="E618" s="1007"/>
      <c r="F618" s="1008"/>
      <c r="G618" s="1007">
        <f>+VLOOKUP(Data_Validation!$A618,BV_Data_An_Cour!$L:$Q,6,0)</f>
        <v>0</v>
      </c>
      <c r="H618" s="165"/>
    </row>
    <row r="619" spans="1:8" ht="15" customHeight="1">
      <c r="A619" s="167"/>
      <c r="B619" s="166"/>
      <c r="C619" s="955"/>
      <c r="D619" s="955"/>
      <c r="E619" s="1007"/>
      <c r="F619" s="1008"/>
      <c r="G619" s="1007">
        <f>+VLOOKUP(Data_Validation!$A619,BV_Data_An_Cour!$L:$Q,6,0)</f>
        <v>0</v>
      </c>
      <c r="H619" s="165"/>
    </row>
    <row r="620" spans="1:8" ht="15" customHeight="1">
      <c r="A620" s="167"/>
      <c r="B620" s="166"/>
      <c r="C620" s="955"/>
      <c r="D620" s="955"/>
      <c r="E620" s="1007"/>
      <c r="F620" s="1008"/>
      <c r="G620" s="1007">
        <f>+VLOOKUP(Data_Validation!$A620,BV_Data_An_Cour!$L:$Q,6,0)</f>
        <v>0</v>
      </c>
      <c r="H620" s="165"/>
    </row>
    <row r="621" spans="1:8" ht="15" customHeight="1">
      <c r="A621" s="167"/>
      <c r="B621" s="166"/>
      <c r="C621" s="955"/>
      <c r="D621" s="955"/>
      <c r="E621" s="1007"/>
      <c r="F621" s="1008"/>
      <c r="G621" s="1007">
        <f>+VLOOKUP(Data_Validation!$A621,BV_Data_An_Cour!$L:$Q,6,0)</f>
        <v>0</v>
      </c>
      <c r="H621" s="165"/>
    </row>
    <row r="622" spans="1:8" ht="15" customHeight="1">
      <c r="A622" s="167"/>
      <c r="B622" s="166"/>
      <c r="C622" s="955"/>
      <c r="D622" s="955"/>
      <c r="E622" s="1007"/>
      <c r="F622" s="1008"/>
      <c r="G622" s="1007">
        <f>+VLOOKUP(Data_Validation!$A622,BV_Data_An_Cour!$L:$Q,6,0)</f>
        <v>0</v>
      </c>
      <c r="H622" s="165"/>
    </row>
    <row r="623" spans="1:8" ht="15" customHeight="1">
      <c r="A623" s="167"/>
      <c r="B623" s="166"/>
      <c r="C623" s="955"/>
      <c r="D623" s="955"/>
      <c r="E623" s="1007"/>
      <c r="F623" s="1008"/>
      <c r="G623" s="1007">
        <f>+VLOOKUP(Data_Validation!$A623,BV_Data_An_Cour!$L:$Q,6,0)</f>
        <v>0</v>
      </c>
      <c r="H623" s="165"/>
    </row>
    <row r="624" spans="1:8" ht="15" customHeight="1">
      <c r="A624" s="167"/>
      <c r="B624" s="166"/>
      <c r="C624" s="955"/>
      <c r="D624" s="955"/>
      <c r="E624" s="1007"/>
      <c r="F624" s="1008"/>
      <c r="G624" s="1007">
        <f>+VLOOKUP(Data_Validation!$A624,BV_Data_An_Cour!$L:$Q,6,0)</f>
        <v>0</v>
      </c>
      <c r="H624" s="165"/>
    </row>
    <row r="625" spans="1:29" ht="15" customHeight="1">
      <c r="A625" s="167"/>
      <c r="B625" s="166"/>
      <c r="C625" s="955"/>
      <c r="D625" s="955"/>
      <c r="E625" s="1007"/>
      <c r="F625" s="1008"/>
      <c r="G625" s="1007">
        <f>+VLOOKUP(Data_Validation!$A625,BV_Data_An_Cour!$L:$Q,6,0)</f>
        <v>0</v>
      </c>
      <c r="H625" s="165"/>
    </row>
    <row r="626" spans="1:29" ht="15" customHeight="1">
      <c r="A626" s="167"/>
      <c r="B626" s="166"/>
      <c r="C626" s="955"/>
      <c r="D626" s="955"/>
      <c r="E626" s="1007"/>
      <c r="F626" s="1008"/>
      <c r="G626" s="1007">
        <f>+VLOOKUP(Data_Validation!$A626,BV_Data_An_Cour!$L:$Q,6,0)</f>
        <v>0</v>
      </c>
      <c r="H626" s="165"/>
    </row>
    <row r="627" spans="1:29" ht="15" customHeight="1">
      <c r="A627" s="167"/>
      <c r="B627" s="166"/>
      <c r="C627" s="955"/>
      <c r="D627" s="955"/>
      <c r="E627" s="1007"/>
      <c r="F627" s="1008"/>
      <c r="G627" s="1007">
        <f>+VLOOKUP(Data_Validation!$A627,BV_Data_An_Cour!$L:$Q,6,0)</f>
        <v>0</v>
      </c>
      <c r="H627" s="165"/>
    </row>
    <row r="628" spans="1:29" ht="15" customHeight="1">
      <c r="A628" s="168"/>
      <c r="B628" s="169"/>
      <c r="C628" s="955"/>
      <c r="D628" s="955"/>
      <c r="E628" s="1007"/>
      <c r="F628" s="1008"/>
      <c r="G628" s="1007">
        <f>+VLOOKUP(Data_Validation!$A628,BV_Data_An_Cour!$L:$Q,6,0)</f>
        <v>0</v>
      </c>
      <c r="H628" s="165"/>
    </row>
    <row r="629" spans="1:29" ht="15" customHeight="1">
      <c r="A629" s="167"/>
      <c r="B629" s="166"/>
      <c r="C629" s="955"/>
      <c r="D629" s="955"/>
      <c r="E629" s="1007"/>
      <c r="F629" s="1008"/>
      <c r="G629" s="1007">
        <f>+VLOOKUP(Data_Validation!$A629,BV_Data_An_Cour!$L:$Q,6,0)</f>
        <v>0</v>
      </c>
      <c r="H629" s="165"/>
    </row>
    <row r="630" spans="1:29" ht="15" customHeight="1">
      <c r="A630" s="169"/>
      <c r="B630" s="169"/>
      <c r="C630" s="955"/>
      <c r="D630" s="955"/>
      <c r="E630" s="1007"/>
      <c r="F630" s="1008"/>
      <c r="G630" s="1007">
        <f>+VLOOKUP(Data_Validation!$A630,BV_Data_An_Cour!$L:$Q,6,0)</f>
        <v>0</v>
      </c>
      <c r="H630" s="165"/>
    </row>
    <row r="631" spans="1:29" ht="15" customHeight="1">
      <c r="A631" s="166"/>
      <c r="B631" s="166"/>
      <c r="C631" s="955"/>
      <c r="D631" s="955"/>
      <c r="E631" s="1007"/>
      <c r="F631" s="1008"/>
      <c r="G631" s="1007">
        <f>+VLOOKUP(Data_Validation!$A631,BV_Data_An_Cour!$L:$Q,6,0)</f>
        <v>0</v>
      </c>
      <c r="H631" s="165"/>
    </row>
    <row r="632" spans="1:29" ht="15" customHeight="1">
      <c r="A632" s="168"/>
      <c r="B632" s="169"/>
      <c r="C632" s="955"/>
      <c r="D632" s="955"/>
      <c r="E632" s="1007"/>
      <c r="F632" s="1008"/>
      <c r="G632" s="1007">
        <f>+VLOOKUP(Data_Validation!$A632,BV_Data_An_Cour!$L:$Q,6,0)</f>
        <v>0</v>
      </c>
      <c r="H632" s="165"/>
    </row>
    <row r="633" spans="1:29" ht="15" customHeight="1">
      <c r="A633" s="166"/>
      <c r="B633" s="166"/>
      <c r="C633" s="955"/>
      <c r="D633" s="955"/>
      <c r="E633" s="1007"/>
      <c r="F633" s="1008"/>
      <c r="G633" s="1007">
        <f>+VLOOKUP(Data_Validation!$A633,BV_Data_An_Cour!$L:$Q,6,0)</f>
        <v>0</v>
      </c>
      <c r="H633" s="165"/>
    </row>
    <row r="634" spans="1:29" ht="15" customHeight="1">
      <c r="A634" s="168"/>
      <c r="B634" s="169"/>
      <c r="C634" s="955"/>
      <c r="D634" s="955"/>
      <c r="E634" s="1007"/>
      <c r="F634" s="1008"/>
      <c r="G634" s="1007">
        <f>+VLOOKUP(Data_Validation!$A634,BV_Data_An_Cour!$L:$Q,6,0)</f>
        <v>0</v>
      </c>
      <c r="H634" s="165"/>
      <c r="I634" s="2"/>
      <c r="J634" s="2"/>
      <c r="L634" s="2"/>
      <c r="M634" s="2"/>
      <c r="N634" s="2"/>
      <c r="O634" s="2"/>
      <c r="P634" s="2"/>
      <c r="Q634" s="2"/>
      <c r="R634" s="2"/>
      <c r="S634" s="2"/>
      <c r="T634" s="2"/>
      <c r="U634" s="2"/>
      <c r="V634" s="2"/>
      <c r="W634" s="2"/>
      <c r="X634" s="2"/>
      <c r="Y634" s="2"/>
      <c r="Z634" s="2"/>
      <c r="AA634" s="2"/>
      <c r="AB634" s="2"/>
      <c r="AC634" s="2"/>
    </row>
    <row r="635" spans="1:29" ht="15" customHeight="1">
      <c r="A635" s="166"/>
      <c r="B635" s="166"/>
      <c r="C635" s="955"/>
      <c r="D635" s="955"/>
      <c r="E635" s="1007"/>
      <c r="F635" s="1008"/>
      <c r="G635" s="1007">
        <f>+VLOOKUP(Data_Validation!$A635,BV_Data_An_Cour!$L:$Q,6,0)</f>
        <v>0</v>
      </c>
      <c r="H635" s="165"/>
    </row>
    <row r="636" spans="1:29" ht="15" customHeight="1">
      <c r="A636" s="167"/>
      <c r="B636" s="166"/>
      <c r="C636" s="955"/>
      <c r="D636" s="955"/>
      <c r="E636" s="1007"/>
      <c r="F636" s="1008"/>
      <c r="G636" s="1007">
        <f>+VLOOKUP(Data_Validation!$A636,BV_Data_An_Cour!$L:$Q,6,0)</f>
        <v>0</v>
      </c>
      <c r="H636" s="165"/>
    </row>
    <row r="637" spans="1:29" ht="15" customHeight="1">
      <c r="A637" s="167"/>
      <c r="B637" s="166"/>
      <c r="C637" s="955"/>
      <c r="D637" s="955"/>
      <c r="E637" s="1007"/>
      <c r="F637" s="1008"/>
      <c r="G637" s="1007">
        <f>+VLOOKUP(Data_Validation!$A637,BV_Data_An_Cour!$L:$Q,6,0)</f>
        <v>0</v>
      </c>
      <c r="H637" s="165"/>
    </row>
    <row r="638" spans="1:29" ht="15" customHeight="1">
      <c r="A638" s="167"/>
      <c r="B638" s="166"/>
      <c r="C638" s="955"/>
      <c r="D638" s="955"/>
      <c r="E638" s="1007"/>
      <c r="F638" s="1008"/>
      <c r="G638" s="1007">
        <f>+VLOOKUP(Data_Validation!$A638,BV_Data_An_Cour!$L:$Q,6,0)</f>
        <v>0</v>
      </c>
      <c r="H638" s="165"/>
    </row>
    <row r="639" spans="1:29" ht="15" customHeight="1">
      <c r="A639" s="166"/>
      <c r="B639" s="166"/>
      <c r="C639" s="955"/>
      <c r="D639" s="955"/>
      <c r="E639" s="1007"/>
      <c r="F639" s="1008"/>
      <c r="G639" s="1007">
        <f>+VLOOKUP(Data_Validation!$A639,BV_Data_An_Cour!$L:$Q,6,0)</f>
        <v>0</v>
      </c>
      <c r="H639" s="165"/>
    </row>
    <row r="640" spans="1:29" ht="15" customHeight="1">
      <c r="A640" s="166"/>
      <c r="B640" s="166"/>
      <c r="C640" s="955"/>
      <c r="D640" s="955"/>
      <c r="E640" s="1007"/>
      <c r="F640" s="1008"/>
      <c r="G640" s="1007">
        <f>+VLOOKUP(Data_Validation!$A640,BV_Data_An_Cour!$L:$Q,6,0)</f>
        <v>0</v>
      </c>
      <c r="H640" s="165"/>
    </row>
    <row r="641" spans="1:29" ht="15" customHeight="1">
      <c r="A641" s="167"/>
      <c r="B641" s="166"/>
      <c r="C641" s="955"/>
      <c r="D641" s="955"/>
      <c r="E641" s="1007"/>
      <c r="F641" s="1008"/>
      <c r="G641" s="1007">
        <f>+VLOOKUP(Data_Validation!$A641,BV_Data_An_Cour!$L:$Q,6,0)</f>
        <v>0</v>
      </c>
      <c r="H641" s="165"/>
    </row>
    <row r="642" spans="1:29" ht="15" customHeight="1">
      <c r="A642" s="167"/>
      <c r="B642" s="166"/>
      <c r="C642" s="955"/>
      <c r="D642" s="955"/>
      <c r="E642" s="1007"/>
      <c r="F642" s="1008"/>
      <c r="G642" s="1007">
        <f>+VLOOKUP(Data_Validation!$A642,BV_Data_An_Cour!$L:$Q,6,0)</f>
        <v>0</v>
      </c>
      <c r="H642" s="165"/>
    </row>
    <row r="643" spans="1:29" ht="15" customHeight="1">
      <c r="A643" s="167"/>
      <c r="B643" s="166"/>
      <c r="C643" s="955"/>
      <c r="D643" s="955"/>
      <c r="E643" s="1007"/>
      <c r="F643" s="1008"/>
      <c r="G643" s="1007">
        <f>+VLOOKUP(Data_Validation!$A643,BV_Data_An_Cour!$L:$Q,6,0)</f>
        <v>0</v>
      </c>
      <c r="H643" s="165"/>
    </row>
    <row r="644" spans="1:29" ht="15" customHeight="1">
      <c r="A644" s="167"/>
      <c r="B644" s="166"/>
      <c r="C644" s="955"/>
      <c r="D644" s="955"/>
      <c r="E644" s="1007"/>
      <c r="F644" s="1008"/>
      <c r="G644" s="1007">
        <f>+VLOOKUP(Data_Validation!$A644,BV_Data_An_Cour!$L:$Q,6,0)</f>
        <v>0</v>
      </c>
      <c r="H644" s="165"/>
    </row>
    <row r="645" spans="1:29" ht="15" customHeight="1">
      <c r="A645" s="167"/>
      <c r="B645" s="166"/>
      <c r="C645" s="955"/>
      <c r="D645" s="955"/>
      <c r="E645" s="1007"/>
      <c r="F645" s="1008"/>
      <c r="G645" s="1007">
        <f>+VLOOKUP(Data_Validation!$A645,BV_Data_An_Cour!$L:$Q,6,0)</f>
        <v>0</v>
      </c>
      <c r="H645" s="165"/>
    </row>
    <row r="646" spans="1:29" ht="15" customHeight="1">
      <c r="A646" s="167"/>
      <c r="B646" s="166"/>
      <c r="C646" s="955"/>
      <c r="D646" s="955"/>
      <c r="E646" s="1007"/>
      <c r="F646" s="1008"/>
      <c r="G646" s="1007">
        <f>+VLOOKUP(Data_Validation!$A646,BV_Data_An_Cour!$L:$Q,6,0)</f>
        <v>0</v>
      </c>
      <c r="H646" s="165"/>
    </row>
    <row r="647" spans="1:29" ht="15" customHeight="1">
      <c r="A647" s="167"/>
      <c r="B647" s="166"/>
      <c r="C647" s="955"/>
      <c r="D647" s="955"/>
      <c r="E647" s="1007"/>
      <c r="F647" s="1008"/>
      <c r="G647" s="1007">
        <f>+VLOOKUP(Data_Validation!$A647,BV_Data_An_Cour!$L:$Q,6,0)</f>
        <v>0</v>
      </c>
      <c r="H647" s="165"/>
      <c r="I647" s="2"/>
      <c r="J647" s="2"/>
      <c r="L647" s="2"/>
      <c r="M647" s="2"/>
      <c r="N647" s="2"/>
      <c r="O647" s="2"/>
      <c r="P647" s="2"/>
      <c r="Q647" s="2"/>
      <c r="R647" s="2"/>
      <c r="S647" s="2"/>
      <c r="T647" s="2"/>
      <c r="U647" s="2"/>
      <c r="V647" s="2"/>
      <c r="W647" s="2"/>
      <c r="X647" s="2"/>
      <c r="Y647" s="2"/>
      <c r="Z647" s="2"/>
      <c r="AA647" s="2"/>
      <c r="AB647" s="2"/>
      <c r="AC647" s="2"/>
    </row>
    <row r="648" spans="1:29" ht="15" customHeight="1">
      <c r="A648" s="167"/>
      <c r="B648" s="166"/>
      <c r="C648" s="955"/>
      <c r="D648" s="955"/>
      <c r="E648" s="1007"/>
      <c r="F648" s="1008"/>
      <c r="G648" s="1007">
        <f>+VLOOKUP(Data_Validation!$A648,BV_Data_An_Cour!$L:$Q,6,0)</f>
        <v>0</v>
      </c>
      <c r="H648" s="165"/>
    </row>
    <row r="649" spans="1:29" ht="15" customHeight="1">
      <c r="A649" s="167"/>
      <c r="B649" s="166"/>
      <c r="C649" s="955"/>
      <c r="D649" s="955"/>
      <c r="E649" s="1007"/>
      <c r="F649" s="1008"/>
      <c r="G649" s="1007">
        <f>+VLOOKUP(Data_Validation!$A649,BV_Data_An_Cour!$L:$Q,6,0)</f>
        <v>0</v>
      </c>
      <c r="H649" s="165"/>
      <c r="I649" s="2"/>
      <c r="J649" s="2"/>
      <c r="L649" s="2"/>
      <c r="M649" s="2"/>
      <c r="N649" s="2"/>
      <c r="O649" s="2"/>
      <c r="P649" s="2"/>
      <c r="Q649" s="2"/>
      <c r="R649" s="2"/>
      <c r="S649" s="2"/>
      <c r="T649" s="2"/>
      <c r="U649" s="2"/>
      <c r="V649" s="2"/>
      <c r="W649" s="2"/>
      <c r="X649" s="2"/>
      <c r="Y649" s="2"/>
      <c r="Z649" s="2"/>
      <c r="AA649" s="2"/>
      <c r="AB649" s="2"/>
      <c r="AC649" s="2"/>
    </row>
    <row r="650" spans="1:29" ht="15" customHeight="1">
      <c r="A650" s="167"/>
      <c r="B650" s="166"/>
      <c r="C650" s="955"/>
      <c r="D650" s="955"/>
      <c r="E650" s="1007"/>
      <c r="F650" s="1008"/>
      <c r="G650" s="1007">
        <f>+VLOOKUP(Data_Validation!$A650,BV_Data_An_Cour!$L:$Q,6,0)</f>
        <v>0</v>
      </c>
      <c r="H650" s="165"/>
      <c r="K650" s="2"/>
    </row>
    <row r="651" spans="1:29" ht="15" customHeight="1">
      <c r="A651" s="167"/>
      <c r="B651" s="166"/>
      <c r="C651" s="955"/>
      <c r="D651" s="955"/>
      <c r="E651" s="1007"/>
      <c r="F651" s="1008"/>
      <c r="G651" s="1007">
        <f>+VLOOKUP(Data_Validation!$A651,BV_Data_An_Cour!$L:$Q,6,0)</f>
        <v>0</v>
      </c>
      <c r="H651" s="165"/>
    </row>
    <row r="652" spans="1:29" ht="15" customHeight="1">
      <c r="A652" s="176"/>
      <c r="B652" s="1029"/>
      <c r="C652" s="1021"/>
      <c r="D652" s="955"/>
      <c r="E652" s="1007"/>
      <c r="F652" s="1008"/>
      <c r="G652" s="1007">
        <f>+VLOOKUP(Data_Validation!$A652,BV_Data_An_Cour!$L:$Q,6,0)</f>
        <v>0</v>
      </c>
      <c r="H652" s="165"/>
    </row>
    <row r="653" spans="1:29" ht="15" customHeight="1">
      <c r="A653" s="167"/>
      <c r="B653" s="166"/>
      <c r="C653" s="955"/>
      <c r="D653" s="955"/>
      <c r="E653" s="1007"/>
      <c r="F653" s="1008"/>
      <c r="G653" s="1007">
        <f>+VLOOKUP(Data_Validation!$A653,BV_Data_An_Cour!$L:$Q,6,0)</f>
        <v>0</v>
      </c>
      <c r="H653" s="165"/>
    </row>
    <row r="654" spans="1:29" ht="15" customHeight="1">
      <c r="A654" s="167"/>
      <c r="B654" s="166"/>
      <c r="C654" s="955"/>
      <c r="D654" s="955"/>
      <c r="E654" s="1007"/>
      <c r="F654" s="1008"/>
      <c r="G654" s="1007">
        <f>+VLOOKUP(Data_Validation!$A654,BV_Data_An_Cour!$L:$Q,6,0)</f>
        <v>0</v>
      </c>
      <c r="H654" s="165"/>
    </row>
    <row r="655" spans="1:29" ht="15" customHeight="1">
      <c r="A655" s="167"/>
      <c r="B655" s="166"/>
      <c r="C655" s="955"/>
      <c r="D655" s="955"/>
      <c r="E655" s="1007"/>
      <c r="F655" s="1008"/>
      <c r="G655" s="1007">
        <f>+VLOOKUP(Data_Validation!$A655,BV_Data_An_Cour!$L:$Q,6,0)</f>
        <v>0</v>
      </c>
      <c r="H655" s="165"/>
    </row>
    <row r="656" spans="1:29" ht="15" customHeight="1">
      <c r="A656" s="167"/>
      <c r="B656" s="166"/>
      <c r="C656" s="955"/>
      <c r="D656" s="955"/>
      <c r="E656" s="1007"/>
      <c r="F656" s="1008"/>
      <c r="G656" s="1007">
        <f>+VLOOKUP(Data_Validation!$A656,BV_Data_An_Cour!$L:$Q,6,0)</f>
        <v>0</v>
      </c>
      <c r="H656" s="165"/>
    </row>
    <row r="657" spans="1:8" ht="15" customHeight="1">
      <c r="A657" s="167"/>
      <c r="B657" s="166"/>
      <c r="C657" s="955"/>
      <c r="D657" s="955"/>
      <c r="E657" s="1007"/>
      <c r="F657" s="1008"/>
      <c r="G657" s="1007">
        <f>+VLOOKUP(Data_Validation!$A657,BV_Data_An_Cour!$L:$Q,6,0)</f>
        <v>0</v>
      </c>
      <c r="H657" s="165"/>
    </row>
    <row r="658" spans="1:8" ht="15" customHeight="1">
      <c r="A658" s="167"/>
      <c r="B658" s="166"/>
      <c r="C658" s="955"/>
      <c r="D658" s="955"/>
      <c r="E658" s="1007"/>
      <c r="F658" s="1008"/>
      <c r="G658" s="1007">
        <f>+VLOOKUP(Data_Validation!$A658,BV_Data_An_Cour!$L:$Q,6,0)</f>
        <v>0</v>
      </c>
      <c r="H658" s="165"/>
    </row>
    <row r="659" spans="1:8" ht="15" customHeight="1">
      <c r="A659" s="167"/>
      <c r="B659" s="166"/>
      <c r="C659" s="955"/>
      <c r="D659" s="955"/>
      <c r="E659" s="1007"/>
      <c r="F659" s="1008"/>
      <c r="G659" s="1007">
        <f>+VLOOKUP(Data_Validation!$A659,BV_Data_An_Cour!$L:$Q,6,0)</f>
        <v>0</v>
      </c>
      <c r="H659" s="165"/>
    </row>
    <row r="660" spans="1:8" ht="15" customHeight="1">
      <c r="A660" s="167"/>
      <c r="B660" s="166"/>
      <c r="C660" s="955"/>
      <c r="D660" s="955"/>
      <c r="E660" s="1007"/>
      <c r="F660" s="1008"/>
      <c r="G660" s="1007">
        <f>+VLOOKUP(Data_Validation!$A660,BV_Data_An_Cour!$L:$Q,6,0)</f>
        <v>0</v>
      </c>
      <c r="H660" s="165"/>
    </row>
    <row r="661" spans="1:8" ht="15" customHeight="1">
      <c r="A661" s="167"/>
      <c r="B661" s="166"/>
      <c r="C661" s="955"/>
      <c r="D661" s="955"/>
      <c r="E661" s="1007"/>
      <c r="F661" s="1008"/>
      <c r="G661" s="1007">
        <f>+VLOOKUP(Data_Validation!$A661,BV_Data_An_Cour!$L:$Q,6,0)</f>
        <v>0</v>
      </c>
      <c r="H661" s="165"/>
    </row>
    <row r="662" spans="1:8" ht="15" customHeight="1">
      <c r="A662" s="176"/>
      <c r="B662" s="571"/>
      <c r="C662" s="955"/>
      <c r="D662" s="955"/>
      <c r="E662" s="1007"/>
      <c r="F662" s="1008"/>
      <c r="G662" s="1007">
        <f>+VLOOKUP(Data_Validation!$A662,BV_Data_An_Cour!$L:$Q,6,0)</f>
        <v>0</v>
      </c>
      <c r="H662" s="165"/>
    </row>
    <row r="663" spans="1:8" ht="15" customHeight="1">
      <c r="A663" s="167"/>
      <c r="B663" s="171"/>
      <c r="C663" s="955"/>
      <c r="D663" s="955"/>
      <c r="E663" s="1007"/>
      <c r="F663" s="1008"/>
      <c r="G663" s="1007">
        <f>+VLOOKUP(Data_Validation!$A663,BV_Data_An_Cour!$L:$Q,6,0)</f>
        <v>0</v>
      </c>
      <c r="H663" s="165"/>
    </row>
    <row r="664" spans="1:8" ht="15" customHeight="1">
      <c r="A664" s="167"/>
      <c r="B664" s="166"/>
      <c r="C664" s="955"/>
      <c r="D664" s="955"/>
      <c r="E664" s="1007"/>
      <c r="F664" s="1008"/>
      <c r="G664" s="1007">
        <f>+VLOOKUP(Data_Validation!$A664,BV_Data_An_Cour!$L:$Q,6,0)</f>
        <v>0</v>
      </c>
      <c r="H664" s="165"/>
    </row>
    <row r="665" spans="1:8" ht="15" customHeight="1">
      <c r="A665" s="167"/>
      <c r="B665" s="166"/>
      <c r="C665" s="955"/>
      <c r="D665" s="955"/>
      <c r="E665" s="1007"/>
      <c r="F665" s="1008"/>
      <c r="G665" s="1007">
        <f>+VLOOKUP(Data_Validation!$A665,BV_Data_An_Cour!$L:$Q,6,0)</f>
        <v>0</v>
      </c>
      <c r="H665" s="165"/>
    </row>
    <row r="666" spans="1:8" ht="15" customHeight="1">
      <c r="A666" s="167"/>
      <c r="B666" s="166"/>
      <c r="C666" s="955"/>
      <c r="D666" s="955"/>
      <c r="E666" s="1007"/>
      <c r="F666" s="1008"/>
      <c r="G666" s="1007">
        <f>+VLOOKUP(Data_Validation!$A666,BV_Data_An_Cour!$L:$Q,6,0)</f>
        <v>0</v>
      </c>
      <c r="H666" s="165"/>
    </row>
    <row r="667" spans="1:8" ht="15" customHeight="1">
      <c r="A667" s="167"/>
      <c r="B667" s="166"/>
      <c r="C667" s="955"/>
      <c r="D667" s="955"/>
      <c r="E667" s="1007"/>
      <c r="F667" s="1008"/>
      <c r="G667" s="1007">
        <f>+VLOOKUP(Data_Validation!$A667,BV_Data_An_Cour!$L:$Q,6,0)</f>
        <v>0</v>
      </c>
      <c r="H667" s="165"/>
    </row>
    <row r="668" spans="1:8" ht="15" customHeight="1">
      <c r="A668" s="167"/>
      <c r="B668" s="166"/>
      <c r="C668" s="955"/>
      <c r="D668" s="955"/>
      <c r="E668" s="1007"/>
      <c r="F668" s="1008"/>
      <c r="G668" s="1007">
        <f>+VLOOKUP(Data_Validation!$A668,BV_Data_An_Cour!$L:$Q,6,0)</f>
        <v>0</v>
      </c>
      <c r="H668" s="165"/>
    </row>
    <row r="669" spans="1:8" ht="15" customHeight="1">
      <c r="A669" s="168"/>
      <c r="B669" s="169"/>
      <c r="C669" s="955"/>
      <c r="D669" s="955"/>
      <c r="E669" s="1007"/>
      <c r="F669" s="1008"/>
      <c r="G669" s="1007">
        <f>+VLOOKUP(Data_Validation!$A669,BV_Data_An_Cour!$L:$Q,6,0)</f>
        <v>0</v>
      </c>
      <c r="H669" s="165"/>
    </row>
    <row r="670" spans="1:8" ht="15" customHeight="1">
      <c r="A670" s="167"/>
      <c r="B670" s="166"/>
      <c r="C670" s="955"/>
      <c r="D670" s="955"/>
      <c r="E670" s="1007"/>
      <c r="F670" s="1008"/>
      <c r="G670" s="1007">
        <f>+VLOOKUP(Data_Validation!$A670,BV_Data_An_Cour!$L:$Q,6,0)</f>
        <v>0</v>
      </c>
      <c r="H670" s="165"/>
    </row>
    <row r="671" spans="1:8" ht="15" customHeight="1">
      <c r="A671" s="167"/>
      <c r="B671" s="166"/>
      <c r="C671" s="955"/>
      <c r="D671" s="955"/>
      <c r="E671" s="1007"/>
      <c r="F671" s="1008"/>
      <c r="G671" s="1007">
        <f>+VLOOKUP(Data_Validation!$A671,BV_Data_An_Cour!$L:$Q,6,0)</f>
        <v>0</v>
      </c>
      <c r="H671" s="165"/>
    </row>
    <row r="672" spans="1:8" ht="15" customHeight="1">
      <c r="A672" s="167"/>
      <c r="B672" s="166"/>
      <c r="C672" s="955"/>
      <c r="D672" s="955"/>
      <c r="E672" s="1007"/>
      <c r="F672" s="1008"/>
      <c r="G672" s="1007">
        <f>+VLOOKUP(Data_Validation!$A672,BV_Data_An_Cour!$L:$Q,6,0)</f>
        <v>0</v>
      </c>
      <c r="H672" s="165"/>
    </row>
    <row r="673" spans="1:11" ht="15" customHeight="1">
      <c r="A673" s="167"/>
      <c r="B673" s="166"/>
      <c r="C673" s="955"/>
      <c r="D673" s="955"/>
      <c r="E673" s="1007"/>
      <c r="F673" s="1008"/>
      <c r="G673" s="1007">
        <f>+VLOOKUP(Data_Validation!$A673,BV_Data_An_Cour!$L:$Q,6,0)</f>
        <v>0</v>
      </c>
      <c r="H673" s="165"/>
    </row>
    <row r="674" spans="1:11" ht="15" customHeight="1">
      <c r="A674" s="167"/>
      <c r="B674" s="166"/>
      <c r="C674" s="955"/>
      <c r="D674" s="955"/>
      <c r="E674" s="1007"/>
      <c r="F674" s="1008"/>
      <c r="G674" s="1007">
        <f>+VLOOKUP(Data_Validation!$A674,BV_Data_An_Cour!$L:$Q,6,0)</f>
        <v>0</v>
      </c>
      <c r="H674" s="165"/>
    </row>
    <row r="675" spans="1:11" ht="15" customHeight="1">
      <c r="A675" s="167"/>
      <c r="B675" s="166"/>
      <c r="C675" s="955"/>
      <c r="D675" s="955"/>
      <c r="E675" s="1007"/>
      <c r="F675" s="1008"/>
      <c r="G675" s="1007">
        <f>+VLOOKUP(Data_Validation!$A675,BV_Data_An_Cour!$L:$Q,6,0)</f>
        <v>0</v>
      </c>
      <c r="H675" s="165"/>
    </row>
    <row r="676" spans="1:11" ht="15" customHeight="1">
      <c r="A676" s="167"/>
      <c r="B676" s="166"/>
      <c r="C676" s="955"/>
      <c r="D676" s="955"/>
      <c r="E676" s="1007"/>
      <c r="F676" s="1008"/>
      <c r="G676" s="1007">
        <f>+VLOOKUP(Data_Validation!$A676,BV_Data_An_Cour!$L:$Q,6,0)</f>
        <v>0</v>
      </c>
      <c r="H676" s="165"/>
    </row>
    <row r="677" spans="1:11" ht="15" customHeight="1">
      <c r="A677" s="167"/>
      <c r="B677" s="166"/>
      <c r="C677" s="955"/>
      <c r="D677" s="955"/>
      <c r="E677" s="1007"/>
      <c r="F677" s="1008"/>
      <c r="G677" s="1007">
        <f>+VLOOKUP(Data_Validation!$A677,BV_Data_An_Cour!$L:$Q,6,0)</f>
        <v>0</v>
      </c>
      <c r="H677" s="165"/>
    </row>
    <row r="678" spans="1:11" ht="15" customHeight="1">
      <c r="A678" s="167"/>
      <c r="B678" s="1029"/>
      <c r="C678" s="1021"/>
      <c r="D678" s="955"/>
      <c r="E678" s="1007"/>
      <c r="F678" s="1008"/>
      <c r="G678" s="1007">
        <f>+VLOOKUP(Data_Validation!$A678,BV_Data_An_Cour!$L:$Q,6,0)</f>
        <v>0</v>
      </c>
      <c r="H678" s="165"/>
    </row>
    <row r="679" spans="1:11" ht="15" customHeight="1">
      <c r="A679" s="167"/>
      <c r="B679" s="166"/>
      <c r="C679" s="955"/>
      <c r="D679" s="955"/>
      <c r="E679" s="1007"/>
      <c r="F679" s="1008"/>
      <c r="G679" s="1007">
        <f>+VLOOKUP(Data_Validation!$A679,BV_Data_An_Cour!$L:$Q,6,0)</f>
        <v>0</v>
      </c>
      <c r="H679" s="165"/>
    </row>
    <row r="680" spans="1:11" ht="15" customHeight="1">
      <c r="A680" s="167"/>
      <c r="B680" s="166"/>
      <c r="C680" s="955"/>
      <c r="D680" s="955"/>
      <c r="E680" s="1007"/>
      <c r="F680" s="1008"/>
      <c r="G680" s="1007">
        <f>+VLOOKUP(Data_Validation!$A680,BV_Data_An_Cour!$L:$Q,6,0)</f>
        <v>0</v>
      </c>
      <c r="H680" s="165"/>
    </row>
    <row r="681" spans="1:11" ht="15" customHeight="1">
      <c r="A681" s="167"/>
      <c r="B681" s="166"/>
      <c r="C681" s="955"/>
      <c r="D681" s="955"/>
      <c r="E681" s="1007"/>
      <c r="F681" s="1008"/>
      <c r="G681" s="1007">
        <f>+VLOOKUP(Data_Validation!$A681,BV_Data_An_Cour!$L:$Q,6,0)</f>
        <v>0</v>
      </c>
      <c r="H681" s="165"/>
    </row>
    <row r="682" spans="1:11" ht="15" customHeight="1">
      <c r="A682" s="167"/>
      <c r="B682" s="166"/>
      <c r="C682" s="955"/>
      <c r="D682" s="955"/>
      <c r="E682" s="1007"/>
      <c r="F682" s="1008"/>
      <c r="G682" s="1007">
        <f>+VLOOKUP(Data_Validation!$A682,BV_Data_An_Cour!$L:$Q,6,0)</f>
        <v>0</v>
      </c>
      <c r="H682" s="165"/>
    </row>
    <row r="683" spans="1:11" ht="15" customHeight="1">
      <c r="A683" s="167"/>
      <c r="B683" s="166"/>
      <c r="C683" s="955"/>
      <c r="D683" s="955"/>
      <c r="E683" s="1007"/>
      <c r="F683" s="1008"/>
      <c r="G683" s="1007">
        <f>+VLOOKUP(Data_Validation!$A683,BV_Data_An_Cour!$L:$Q,6,0)</f>
        <v>0</v>
      </c>
      <c r="H683" s="165"/>
    </row>
    <row r="684" spans="1:11" ht="15" customHeight="1">
      <c r="A684" s="167"/>
      <c r="B684" s="166"/>
      <c r="C684" s="955"/>
      <c r="D684" s="955"/>
      <c r="E684" s="1007"/>
      <c r="F684" s="1008"/>
      <c r="G684" s="1007">
        <f>+VLOOKUP(Data_Validation!$A684,BV_Data_An_Cour!$L:$Q,6,0)</f>
        <v>0</v>
      </c>
      <c r="H684" s="165"/>
    </row>
    <row r="685" spans="1:11" ht="15" customHeight="1">
      <c r="A685" s="167"/>
      <c r="B685" s="166"/>
      <c r="C685" s="955"/>
      <c r="D685" s="955"/>
      <c r="E685" s="1007"/>
      <c r="F685" s="1008"/>
      <c r="G685" s="1007">
        <f>+VLOOKUP(Data_Validation!$A685,BV_Data_An_Cour!$L:$Q,6,0)</f>
        <v>0</v>
      </c>
      <c r="H685" s="165"/>
      <c r="K685" s="2"/>
    </row>
    <row r="686" spans="1:11" ht="15" customHeight="1">
      <c r="A686" s="166"/>
      <c r="B686" s="166"/>
      <c r="C686" s="955"/>
      <c r="D686" s="955"/>
      <c r="E686" s="1007"/>
      <c r="F686" s="1008"/>
      <c r="G686" s="1007">
        <f>+VLOOKUP(Data_Validation!$A686,BV_Data_An_Cour!$L:$Q,6,0)</f>
        <v>0</v>
      </c>
      <c r="H686" s="165"/>
    </row>
    <row r="687" spans="1:11" ht="15" customHeight="1">
      <c r="A687" s="167"/>
      <c r="B687" s="166"/>
      <c r="C687" s="955"/>
      <c r="D687" s="955"/>
      <c r="E687" s="1007"/>
      <c r="F687" s="1008"/>
      <c r="G687" s="1007">
        <f>+VLOOKUP(Data_Validation!$A687,BV_Data_An_Cour!$L:$Q,6,0)</f>
        <v>0</v>
      </c>
      <c r="H687" s="165"/>
    </row>
    <row r="688" spans="1:11" ht="15" customHeight="1">
      <c r="A688" s="167"/>
      <c r="B688" s="166"/>
      <c r="C688" s="955"/>
      <c r="D688" s="955"/>
      <c r="E688" s="1007"/>
      <c r="F688" s="1008"/>
      <c r="G688" s="1007">
        <f>+VLOOKUP(Data_Validation!$A688,BV_Data_An_Cour!$L:$Q,6,0)</f>
        <v>0</v>
      </c>
      <c r="H688" s="165"/>
    </row>
    <row r="689" spans="1:11" ht="15" customHeight="1">
      <c r="A689" s="167"/>
      <c r="B689" s="166"/>
      <c r="C689" s="955"/>
      <c r="D689" s="955"/>
      <c r="E689" s="1007"/>
      <c r="F689" s="1008"/>
      <c r="G689" s="1007">
        <f>+VLOOKUP(Data_Validation!$A689,BV_Data_An_Cour!$L:$Q,6,0)</f>
        <v>0</v>
      </c>
      <c r="H689" s="165"/>
    </row>
    <row r="690" spans="1:11" ht="15" customHeight="1">
      <c r="A690" s="167"/>
      <c r="B690" s="166"/>
      <c r="C690" s="955"/>
      <c r="D690" s="955"/>
      <c r="E690" s="1007"/>
      <c r="F690" s="1008"/>
      <c r="G690" s="1007">
        <f>+VLOOKUP(Data_Validation!$A690,BV_Data_An_Cour!$L:$Q,6,0)</f>
        <v>0</v>
      </c>
      <c r="H690" s="165"/>
    </row>
    <row r="691" spans="1:11" ht="15" customHeight="1">
      <c r="A691" s="167"/>
      <c r="B691" s="166"/>
      <c r="C691" s="955"/>
      <c r="D691" s="955"/>
      <c r="E691" s="1007"/>
      <c r="F691" s="1008"/>
      <c r="G691" s="1007">
        <f>+VLOOKUP(Data_Validation!$A691,BV_Data_An_Cour!$L:$Q,6,0)</f>
        <v>0</v>
      </c>
      <c r="H691" s="165"/>
    </row>
    <row r="692" spans="1:11" ht="15" customHeight="1">
      <c r="A692" s="167"/>
      <c r="B692" s="166"/>
      <c r="C692" s="955"/>
      <c r="D692" s="955"/>
      <c r="E692" s="1007"/>
      <c r="F692" s="1008"/>
      <c r="G692" s="1007">
        <f>+VLOOKUP(Data_Validation!$A692,BV_Data_An_Cour!$L:$Q,6,0)</f>
        <v>0</v>
      </c>
      <c r="H692" s="165"/>
    </row>
    <row r="693" spans="1:11" ht="15" customHeight="1">
      <c r="A693" s="167"/>
      <c r="B693" s="166"/>
      <c r="C693" s="955"/>
      <c r="D693" s="955"/>
      <c r="E693" s="1007"/>
      <c r="F693" s="1008"/>
      <c r="G693" s="1007">
        <f>+VLOOKUP(Data_Validation!$A693,BV_Data_An_Cour!$L:$Q,6,0)</f>
        <v>0</v>
      </c>
      <c r="H693" s="165"/>
    </row>
    <row r="694" spans="1:11" ht="15" customHeight="1">
      <c r="A694" s="167"/>
      <c r="B694" s="166"/>
      <c r="C694" s="955"/>
      <c r="D694" s="955"/>
      <c r="E694" s="1007"/>
      <c r="F694" s="1008"/>
      <c r="G694" s="1007">
        <f>+VLOOKUP(Data_Validation!$A694,BV_Data_An_Cour!$L:$Q,6,0)</f>
        <v>0</v>
      </c>
      <c r="H694" s="165"/>
    </row>
    <row r="695" spans="1:11" ht="15" customHeight="1">
      <c r="A695" s="167"/>
      <c r="B695" s="166"/>
      <c r="C695" s="955"/>
      <c r="D695" s="955"/>
      <c r="E695" s="1007"/>
      <c r="F695" s="1008"/>
      <c r="G695" s="1007">
        <f>+VLOOKUP(Data_Validation!$A695,BV_Data_An_Cour!$L:$Q,6,0)</f>
        <v>0</v>
      </c>
      <c r="H695" s="165"/>
    </row>
    <row r="696" spans="1:11" ht="15" customHeight="1">
      <c r="A696" s="167"/>
      <c r="B696" s="166"/>
      <c r="C696" s="955"/>
      <c r="D696" s="955"/>
      <c r="E696" s="1007"/>
      <c r="F696" s="1008"/>
      <c r="G696" s="1007">
        <f>+VLOOKUP(Data_Validation!$A696,BV_Data_An_Cour!$L:$Q,6,0)</f>
        <v>0</v>
      </c>
      <c r="H696" s="165"/>
    </row>
    <row r="697" spans="1:11" ht="15" customHeight="1">
      <c r="A697" s="167"/>
      <c r="B697" s="166"/>
      <c r="C697" s="955"/>
      <c r="D697" s="955"/>
      <c r="E697" s="1007"/>
      <c r="F697" s="1008"/>
      <c r="G697" s="1007">
        <f>+VLOOKUP(Data_Validation!$A697,BV_Data_An_Cour!$L:$Q,6,0)</f>
        <v>0</v>
      </c>
      <c r="H697" s="165"/>
    </row>
    <row r="698" spans="1:11" ht="15" customHeight="1">
      <c r="A698" s="167"/>
      <c r="B698" s="166"/>
      <c r="C698" s="955"/>
      <c r="D698" s="955"/>
      <c r="E698" s="1007"/>
      <c r="F698" s="1008"/>
      <c r="G698" s="1007">
        <f>+VLOOKUP(Data_Validation!$A698,BV_Data_An_Cour!$L:$Q,6,0)</f>
        <v>0</v>
      </c>
      <c r="H698" s="165"/>
      <c r="K698" s="2"/>
    </row>
    <row r="699" spans="1:11" ht="15" customHeight="1">
      <c r="A699" s="167"/>
      <c r="B699" s="166"/>
      <c r="C699" s="955"/>
      <c r="D699" s="955"/>
      <c r="E699" s="1007"/>
      <c r="F699" s="1008"/>
      <c r="G699" s="1007">
        <f>+VLOOKUP(Data_Validation!$A699,BV_Data_An_Cour!$L:$Q,6,0)</f>
        <v>0</v>
      </c>
      <c r="H699" s="165"/>
    </row>
    <row r="700" spans="1:11" ht="15" customHeight="1">
      <c r="A700" s="167"/>
      <c r="B700" s="166"/>
      <c r="C700" s="955"/>
      <c r="D700" s="955"/>
      <c r="E700" s="1007"/>
      <c r="F700" s="1008"/>
      <c r="G700" s="1007">
        <f>+VLOOKUP(Data_Validation!$A700,BV_Data_An_Cour!$L:$Q,6,0)</f>
        <v>0</v>
      </c>
      <c r="H700" s="165"/>
      <c r="K700" s="2"/>
    </row>
    <row r="701" spans="1:11" ht="15" customHeight="1">
      <c r="A701" s="167"/>
      <c r="B701" s="166"/>
      <c r="C701" s="955"/>
      <c r="D701" s="955"/>
      <c r="E701" s="1007"/>
      <c r="F701" s="1008"/>
      <c r="G701" s="1007">
        <f>+VLOOKUP(Data_Validation!$A701,BV_Data_An_Cour!$L:$Q,6,0)</f>
        <v>0</v>
      </c>
      <c r="H701" s="165"/>
    </row>
    <row r="702" spans="1:11" ht="15" customHeight="1">
      <c r="A702" s="167"/>
      <c r="B702" s="166"/>
      <c r="C702" s="955"/>
      <c r="D702" s="955"/>
      <c r="E702" s="1007"/>
      <c r="F702" s="1008"/>
      <c r="G702" s="1007">
        <f>+VLOOKUP(Data_Validation!$A702,BV_Data_An_Cour!$L:$Q,6,0)</f>
        <v>0</v>
      </c>
      <c r="H702" s="165"/>
    </row>
    <row r="703" spans="1:11" ht="15" customHeight="1">
      <c r="A703" s="167"/>
      <c r="B703" s="166"/>
      <c r="C703" s="955"/>
      <c r="D703" s="955"/>
      <c r="E703" s="1007"/>
      <c r="F703" s="1008"/>
      <c r="G703" s="1007">
        <f>+VLOOKUP(Data_Validation!$A703,BV_Data_An_Cour!$L:$Q,6,0)</f>
        <v>0</v>
      </c>
      <c r="H703" s="165"/>
    </row>
    <row r="704" spans="1:11" ht="15" customHeight="1">
      <c r="A704" s="167"/>
      <c r="B704" s="166"/>
      <c r="C704" s="955"/>
      <c r="D704" s="955"/>
      <c r="E704" s="1007"/>
      <c r="F704" s="1008"/>
      <c r="G704" s="1007">
        <f>+VLOOKUP(Data_Validation!$A704,BV_Data_An_Cour!$L:$Q,6,0)</f>
        <v>0</v>
      </c>
      <c r="H704" s="165"/>
    </row>
    <row r="705" spans="1:29" ht="15" customHeight="1">
      <c r="A705" s="167"/>
      <c r="B705" s="166"/>
      <c r="C705" s="955"/>
      <c r="D705" s="955"/>
      <c r="E705" s="1007"/>
      <c r="F705" s="1008"/>
      <c r="G705" s="1007">
        <f>+VLOOKUP(Data_Validation!$A705,BV_Data_An_Cour!$L:$Q,6,0)</f>
        <v>0</v>
      </c>
      <c r="H705" s="165"/>
    </row>
    <row r="706" spans="1:29" ht="15" customHeight="1">
      <c r="A706" s="167"/>
      <c r="B706" s="166"/>
      <c r="C706" s="955"/>
      <c r="D706" s="955"/>
      <c r="E706" s="1007"/>
      <c r="F706" s="1008"/>
      <c r="G706" s="1007">
        <f>+VLOOKUP(Data_Validation!$A706,BV_Data_An_Cour!$L:$Q,6,0)</f>
        <v>0</v>
      </c>
      <c r="H706" s="165"/>
    </row>
    <row r="707" spans="1:29" ht="15" customHeight="1">
      <c r="A707" s="167"/>
      <c r="B707" s="166"/>
      <c r="C707" s="955"/>
      <c r="D707" s="955"/>
      <c r="E707" s="1007"/>
      <c r="F707" s="1008"/>
      <c r="G707" s="1007">
        <f>+VLOOKUP(Data_Validation!$A707,BV_Data_An_Cour!$L:$Q,6,0)</f>
        <v>0</v>
      </c>
      <c r="H707" s="165"/>
      <c r="I707" s="2"/>
      <c r="J707" s="2"/>
      <c r="L707" s="2"/>
      <c r="M707" s="2"/>
      <c r="N707" s="2"/>
      <c r="O707" s="2"/>
      <c r="P707" s="2"/>
      <c r="Q707" s="2"/>
      <c r="R707" s="2"/>
      <c r="S707" s="2"/>
      <c r="T707" s="2"/>
      <c r="U707" s="2"/>
      <c r="V707" s="2"/>
      <c r="W707" s="2"/>
      <c r="X707" s="2"/>
      <c r="Y707" s="2"/>
      <c r="Z707" s="2"/>
      <c r="AA707" s="2"/>
      <c r="AB707" s="2"/>
      <c r="AC707" s="2"/>
    </row>
    <row r="708" spans="1:29" ht="15" customHeight="1">
      <c r="A708" s="167"/>
      <c r="B708" s="166"/>
      <c r="C708" s="955"/>
      <c r="D708" s="955"/>
      <c r="E708" s="1007"/>
      <c r="F708" s="1008"/>
      <c r="G708" s="1007">
        <f>+VLOOKUP(Data_Validation!$A708,BV_Data_An_Cour!$L:$Q,6,0)</f>
        <v>0</v>
      </c>
      <c r="H708" s="165"/>
    </row>
    <row r="709" spans="1:29" ht="15" customHeight="1">
      <c r="A709" s="167"/>
      <c r="B709" s="166"/>
      <c r="C709" s="955"/>
      <c r="D709" s="955"/>
      <c r="E709" s="1007"/>
      <c r="F709" s="1008"/>
      <c r="G709" s="1007">
        <f>+VLOOKUP(Data_Validation!$A709,BV_Data_An_Cour!$L:$Q,6,0)</f>
        <v>0</v>
      </c>
      <c r="H709" s="165"/>
    </row>
    <row r="710" spans="1:29" ht="15" customHeight="1">
      <c r="A710" s="167"/>
      <c r="B710" s="166"/>
      <c r="C710" s="955"/>
      <c r="D710" s="955"/>
      <c r="E710" s="1007"/>
      <c r="F710" s="1008"/>
      <c r="G710" s="1007">
        <f>+VLOOKUP(Data_Validation!$A710,BV_Data_An_Cour!$L:$Q,6,0)</f>
        <v>0</v>
      </c>
      <c r="H710" s="165"/>
    </row>
    <row r="711" spans="1:29" ht="15" customHeight="1">
      <c r="A711" s="167"/>
      <c r="B711" s="166"/>
      <c r="C711" s="955"/>
      <c r="D711" s="955"/>
      <c r="E711" s="1007"/>
      <c r="F711" s="1008"/>
      <c r="G711" s="1007">
        <f>+VLOOKUP(Data_Validation!$A711,BV_Data_An_Cour!$L:$Q,6,0)</f>
        <v>0</v>
      </c>
      <c r="H711" s="165"/>
    </row>
    <row r="712" spans="1:29" ht="15" customHeight="1">
      <c r="A712" s="167"/>
      <c r="B712" s="166"/>
      <c r="C712" s="955"/>
      <c r="D712" s="955"/>
      <c r="E712" s="1007"/>
      <c r="F712" s="1008"/>
      <c r="G712" s="1007">
        <f>+VLOOKUP(Data_Validation!$A712,BV_Data_An_Cour!$L:$Q,6,0)</f>
        <v>0</v>
      </c>
      <c r="H712" s="165"/>
    </row>
    <row r="713" spans="1:29" ht="15" customHeight="1">
      <c r="A713" s="167"/>
      <c r="B713" s="166"/>
      <c r="C713" s="955"/>
      <c r="D713" s="955"/>
      <c r="E713" s="1007"/>
      <c r="F713" s="1008"/>
      <c r="G713" s="1007">
        <f>+VLOOKUP(Data_Validation!$A713,BV_Data_An_Cour!$L:$Q,6,0)</f>
        <v>0</v>
      </c>
      <c r="H713" s="165"/>
    </row>
    <row r="714" spans="1:29" ht="15" customHeight="1">
      <c r="A714" s="167"/>
      <c r="B714" s="166"/>
      <c r="C714" s="955"/>
      <c r="D714" s="955"/>
      <c r="E714" s="1007"/>
      <c r="F714" s="1008"/>
      <c r="G714" s="1007">
        <f>+VLOOKUP(Data_Validation!$A714,BV_Data_An_Cour!$L:$Q,6,0)</f>
        <v>0</v>
      </c>
      <c r="H714" s="165"/>
    </row>
    <row r="715" spans="1:29" ht="15" customHeight="1">
      <c r="A715" s="167"/>
      <c r="B715" s="166"/>
      <c r="C715" s="955"/>
      <c r="D715" s="955"/>
      <c r="E715" s="1007"/>
      <c r="F715" s="1008"/>
      <c r="G715" s="1007">
        <f>+VLOOKUP(Data_Validation!$A715,BV_Data_An_Cour!$L:$Q,6,0)</f>
        <v>0</v>
      </c>
      <c r="H715" s="165"/>
    </row>
    <row r="716" spans="1:29" ht="15" customHeight="1">
      <c r="A716" s="167"/>
      <c r="B716" s="166"/>
      <c r="C716" s="955"/>
      <c r="D716" s="955"/>
      <c r="E716" s="1007"/>
      <c r="F716" s="1008"/>
      <c r="G716" s="1007">
        <f>+VLOOKUP(Data_Validation!$A716,BV_Data_An_Cour!$L:$Q,6,0)</f>
        <v>0</v>
      </c>
      <c r="H716" s="165"/>
    </row>
    <row r="717" spans="1:29" ht="15" customHeight="1">
      <c r="A717" s="167"/>
      <c r="B717" s="166"/>
      <c r="C717" s="955"/>
      <c r="D717" s="955"/>
      <c r="E717" s="1007"/>
      <c r="F717" s="1008"/>
      <c r="G717" s="1007">
        <f>+VLOOKUP(Data_Validation!$A717,BV_Data_An_Cour!$L:$Q,6,0)</f>
        <v>0</v>
      </c>
      <c r="H717" s="165"/>
    </row>
    <row r="718" spans="1:29" ht="15" customHeight="1">
      <c r="A718" s="167"/>
      <c r="B718" s="166"/>
      <c r="C718" s="955"/>
      <c r="D718" s="955"/>
      <c r="E718" s="1007"/>
      <c r="F718" s="1008"/>
      <c r="G718" s="1007">
        <f>+VLOOKUP(Data_Validation!$A718,BV_Data_An_Cour!$L:$Q,6,0)</f>
        <v>0</v>
      </c>
      <c r="H718" s="165"/>
    </row>
    <row r="719" spans="1:29" ht="15" customHeight="1">
      <c r="A719" s="167"/>
      <c r="B719" s="166"/>
      <c r="C719" s="955"/>
      <c r="D719" s="955"/>
      <c r="E719" s="1007"/>
      <c r="F719" s="1008"/>
      <c r="G719" s="1007">
        <f>+VLOOKUP(Data_Validation!$A719,BV_Data_An_Cour!$L:$Q,6,0)</f>
        <v>0</v>
      </c>
      <c r="H719" s="165"/>
    </row>
    <row r="720" spans="1:29" ht="15" customHeight="1">
      <c r="A720" s="167"/>
      <c r="B720" s="166"/>
      <c r="C720" s="955"/>
      <c r="D720" s="955"/>
      <c r="E720" s="1007"/>
      <c r="F720" s="1008"/>
      <c r="G720" s="1007">
        <f>+VLOOKUP(Data_Validation!$A720,BV_Data_An_Cour!$L:$Q,6,0)</f>
        <v>0</v>
      </c>
      <c r="H720" s="165"/>
    </row>
    <row r="721" spans="1:8" ht="15" customHeight="1">
      <c r="A721" s="167"/>
      <c r="B721" s="166"/>
      <c r="C721" s="955"/>
      <c r="D721" s="955"/>
      <c r="E721" s="1007"/>
      <c r="F721" s="1008"/>
      <c r="G721" s="1007">
        <f>+VLOOKUP(Data_Validation!$A721,BV_Data_An_Cour!$L:$Q,6,0)</f>
        <v>0</v>
      </c>
      <c r="H721" s="165"/>
    </row>
    <row r="722" spans="1:8" ht="15" customHeight="1">
      <c r="A722" s="167"/>
      <c r="B722" s="166"/>
      <c r="C722" s="955"/>
      <c r="D722" s="955"/>
      <c r="E722" s="1007"/>
      <c r="F722" s="1008"/>
      <c r="G722" s="1007">
        <f>+VLOOKUP(Data_Validation!$A722,BV_Data_An_Cour!$L:$Q,6,0)</f>
        <v>0</v>
      </c>
      <c r="H722" s="165"/>
    </row>
    <row r="723" spans="1:8" ht="15" customHeight="1">
      <c r="A723" s="166"/>
      <c r="B723" s="166"/>
      <c r="C723" s="955"/>
      <c r="D723" s="955"/>
      <c r="E723" s="1007"/>
      <c r="F723" s="1008"/>
      <c r="G723" s="1007">
        <f>+VLOOKUP(Data_Validation!$A723,BV_Data_An_Cour!$L:$Q,6,0)</f>
        <v>0</v>
      </c>
      <c r="H723" s="165"/>
    </row>
    <row r="724" spans="1:8" ht="15" customHeight="1">
      <c r="A724" s="167"/>
      <c r="B724" s="166"/>
      <c r="C724" s="955"/>
      <c r="D724" s="955"/>
      <c r="E724" s="1007"/>
      <c r="F724" s="1008"/>
      <c r="G724" s="1007">
        <f>+VLOOKUP(Data_Validation!$A724,BV_Data_An_Cour!$L:$Q,6,0)</f>
        <v>0</v>
      </c>
      <c r="H724" s="165"/>
    </row>
    <row r="725" spans="1:8" ht="15" customHeight="1">
      <c r="A725" s="167"/>
      <c r="B725" s="166"/>
      <c r="C725" s="955"/>
      <c r="D725" s="955"/>
      <c r="E725" s="1007"/>
      <c r="F725" s="1008"/>
      <c r="G725" s="1007">
        <f>+VLOOKUP(Data_Validation!$A725,BV_Data_An_Cour!$L:$Q,6,0)</f>
        <v>0</v>
      </c>
      <c r="H725" s="165"/>
    </row>
    <row r="726" spans="1:8" ht="15" customHeight="1">
      <c r="A726" s="167"/>
      <c r="B726" s="166"/>
      <c r="C726" s="955"/>
      <c r="D726" s="955"/>
      <c r="E726" s="1007"/>
      <c r="F726" s="1008"/>
      <c r="G726" s="1007">
        <f>+VLOOKUP(Data_Validation!$A726,BV_Data_An_Cour!$L:$Q,6,0)</f>
        <v>0</v>
      </c>
      <c r="H726" s="165"/>
    </row>
    <row r="727" spans="1:8" ht="15" customHeight="1">
      <c r="A727" s="167"/>
      <c r="B727" s="166"/>
      <c r="C727" s="955"/>
      <c r="D727" s="955"/>
      <c r="E727" s="1007"/>
      <c r="F727" s="1008"/>
      <c r="G727" s="1007">
        <f>+VLOOKUP(Data_Validation!$A727,BV_Data_An_Cour!$L:$Q,6,0)</f>
        <v>0</v>
      </c>
      <c r="H727" s="165"/>
    </row>
    <row r="728" spans="1:8" ht="15" customHeight="1">
      <c r="A728" s="167"/>
      <c r="B728" s="166"/>
      <c r="C728" s="955"/>
      <c r="D728" s="955"/>
      <c r="E728" s="1007"/>
      <c r="F728" s="1008"/>
      <c r="G728" s="1007">
        <f>+VLOOKUP(Data_Validation!$A728,BV_Data_An_Cour!$L:$Q,6,0)</f>
        <v>0</v>
      </c>
      <c r="H728" s="165"/>
    </row>
    <row r="729" spans="1:8" ht="15" customHeight="1">
      <c r="A729" s="167"/>
      <c r="B729" s="166"/>
      <c r="C729" s="955"/>
      <c r="D729" s="955"/>
      <c r="E729" s="1007"/>
      <c r="F729" s="1008"/>
      <c r="G729" s="1007">
        <f>+VLOOKUP(Data_Validation!$A729,BV_Data_An_Cour!$L:$Q,6,0)</f>
        <v>0</v>
      </c>
      <c r="H729" s="165"/>
    </row>
    <row r="730" spans="1:8" ht="15" customHeight="1">
      <c r="A730" s="167"/>
      <c r="B730" s="166"/>
      <c r="C730" s="955"/>
      <c r="D730" s="955"/>
      <c r="E730" s="1007"/>
      <c r="F730" s="1008"/>
      <c r="G730" s="1007">
        <f>+VLOOKUP(Data_Validation!$A730,BV_Data_An_Cour!$L:$Q,6,0)</f>
        <v>0</v>
      </c>
      <c r="H730" s="165"/>
    </row>
    <row r="731" spans="1:8" ht="15" customHeight="1">
      <c r="A731" s="167"/>
      <c r="B731" s="166"/>
      <c r="C731" s="955"/>
      <c r="D731" s="955"/>
      <c r="E731" s="1007"/>
      <c r="F731" s="1008"/>
      <c r="G731" s="1007">
        <f>+VLOOKUP(Data_Validation!$A731,BV_Data_An_Cour!$L:$Q,6,0)</f>
        <v>0</v>
      </c>
      <c r="H731" s="165"/>
    </row>
    <row r="732" spans="1:8" ht="15" customHeight="1">
      <c r="A732" s="167"/>
      <c r="B732" s="166"/>
      <c r="C732" s="955"/>
      <c r="D732" s="955"/>
      <c r="E732" s="1007"/>
      <c r="F732" s="1008"/>
      <c r="G732" s="1007">
        <f>+VLOOKUP(Data_Validation!$A732,BV_Data_An_Cour!$L:$Q,6,0)</f>
        <v>0</v>
      </c>
      <c r="H732" s="165"/>
    </row>
    <row r="733" spans="1:8" ht="15" customHeight="1">
      <c r="A733" s="167"/>
      <c r="B733" s="166"/>
      <c r="C733" s="955"/>
      <c r="D733" s="955"/>
      <c r="E733" s="1007"/>
      <c r="F733" s="1008"/>
      <c r="G733" s="1007">
        <f>+VLOOKUP(Data_Validation!$A733,BV_Data_An_Cour!$L:$Q,6,0)</f>
        <v>0</v>
      </c>
      <c r="H733" s="165"/>
    </row>
    <row r="734" spans="1:8" ht="15" customHeight="1">
      <c r="A734" s="167"/>
      <c r="B734" s="166"/>
      <c r="C734" s="955"/>
      <c r="D734" s="955"/>
      <c r="E734" s="1007"/>
      <c r="F734" s="1008"/>
      <c r="G734" s="1007">
        <f>+VLOOKUP(Data_Validation!$A734,BV_Data_An_Cour!$L:$Q,6,0)</f>
        <v>0</v>
      </c>
      <c r="H734" s="165"/>
    </row>
    <row r="735" spans="1:8" ht="15" customHeight="1">
      <c r="A735" s="167"/>
      <c r="B735" s="166"/>
      <c r="C735" s="955"/>
      <c r="D735" s="955"/>
      <c r="E735" s="1007"/>
      <c r="F735" s="1008"/>
      <c r="G735" s="1007">
        <f>+VLOOKUP(Data_Validation!$A735,BV_Data_An_Cour!$L:$Q,6,0)</f>
        <v>0</v>
      </c>
      <c r="H735" s="165"/>
    </row>
    <row r="736" spans="1:8" ht="15" customHeight="1">
      <c r="A736" s="167"/>
      <c r="B736" s="166"/>
      <c r="C736" s="955"/>
      <c r="D736" s="955"/>
      <c r="E736" s="1007"/>
      <c r="F736" s="1008"/>
      <c r="G736" s="1007">
        <f>+VLOOKUP(Data_Validation!$A736,BV_Data_An_Cour!$L:$Q,6,0)</f>
        <v>0</v>
      </c>
      <c r="H736" s="165"/>
    </row>
    <row r="737" spans="1:29" ht="15" customHeight="1">
      <c r="A737" s="167"/>
      <c r="B737" s="166"/>
      <c r="C737" s="955"/>
      <c r="D737" s="955"/>
      <c r="E737" s="1007"/>
      <c r="F737" s="1008"/>
      <c r="G737" s="1007">
        <f>+VLOOKUP(Data_Validation!$A737,BV_Data_An_Cour!$L:$Q,6,0)</f>
        <v>0</v>
      </c>
      <c r="H737" s="165"/>
    </row>
    <row r="738" spans="1:29" ht="15" customHeight="1">
      <c r="A738" s="167"/>
      <c r="B738" s="166"/>
      <c r="C738" s="955"/>
      <c r="D738" s="955"/>
      <c r="E738" s="1007"/>
      <c r="F738" s="1008"/>
      <c r="G738" s="1007">
        <f>+VLOOKUP(Data_Validation!$A738,BV_Data_An_Cour!$L:$Q,6,0)</f>
        <v>0</v>
      </c>
      <c r="H738" s="165"/>
    </row>
    <row r="739" spans="1:29" ht="15" customHeight="1">
      <c r="A739" s="167"/>
      <c r="B739" s="166"/>
      <c r="C739" s="955"/>
      <c r="D739" s="955"/>
      <c r="E739" s="1007"/>
      <c r="F739" s="1008"/>
      <c r="G739" s="1007">
        <f>+VLOOKUP(Data_Validation!$A739,BV_Data_An_Cour!$L:$Q,6,0)</f>
        <v>0</v>
      </c>
      <c r="H739" s="165"/>
    </row>
    <row r="740" spans="1:29" ht="15" customHeight="1">
      <c r="A740" s="167"/>
      <c r="B740" s="166"/>
      <c r="C740" s="955"/>
      <c r="D740" s="955"/>
      <c r="E740" s="1007"/>
      <c r="F740" s="1008"/>
      <c r="G740" s="1007">
        <f>+VLOOKUP(Data_Validation!$A740,BV_Data_An_Cour!$L:$Q,6,0)</f>
        <v>0</v>
      </c>
      <c r="H740" s="165"/>
    </row>
    <row r="741" spans="1:29" ht="15" customHeight="1">
      <c r="A741" s="167"/>
      <c r="B741" s="166"/>
      <c r="C741" s="955"/>
      <c r="D741" s="955"/>
      <c r="E741" s="1007"/>
      <c r="F741" s="1008"/>
      <c r="G741" s="1007">
        <f>+VLOOKUP(Data_Validation!$A741,BV_Data_An_Cour!$L:$Q,6,0)</f>
        <v>0</v>
      </c>
      <c r="H741" s="165"/>
    </row>
    <row r="742" spans="1:29" ht="15" customHeight="1">
      <c r="A742" s="167"/>
      <c r="B742" s="166"/>
      <c r="C742" s="955"/>
      <c r="D742" s="955"/>
      <c r="E742" s="1007"/>
      <c r="F742" s="1008"/>
      <c r="G742" s="1007">
        <f>+VLOOKUP(Data_Validation!$A742,BV_Data_An_Cour!$L:$Q,6,0)</f>
        <v>0</v>
      </c>
      <c r="H742" s="165"/>
    </row>
    <row r="743" spans="1:29" ht="15" customHeight="1">
      <c r="A743" s="167"/>
      <c r="B743" s="166"/>
      <c r="C743" s="955"/>
      <c r="D743" s="955"/>
      <c r="E743" s="1007"/>
      <c r="F743" s="1008"/>
      <c r="G743" s="1007">
        <f>+VLOOKUP(Data_Validation!$A743,BV_Data_An_Cour!$L:$Q,6,0)</f>
        <v>0</v>
      </c>
      <c r="H743" s="165"/>
      <c r="I743" s="2"/>
      <c r="J743" s="2"/>
      <c r="L743" s="2"/>
      <c r="M743" s="2"/>
      <c r="N743" s="2"/>
      <c r="O743" s="2"/>
      <c r="P743" s="2"/>
      <c r="Q743" s="2"/>
      <c r="R743" s="2"/>
      <c r="S743" s="2"/>
      <c r="T743" s="2"/>
      <c r="U743" s="2"/>
      <c r="V743" s="2"/>
      <c r="W743" s="2"/>
      <c r="X743" s="2"/>
      <c r="Y743" s="2"/>
      <c r="Z743" s="2"/>
      <c r="AA743" s="2"/>
      <c r="AB743" s="2"/>
      <c r="AC743" s="2"/>
    </row>
    <row r="744" spans="1:29" ht="15" customHeight="1">
      <c r="A744" s="167"/>
      <c r="B744" s="166"/>
      <c r="C744" s="955"/>
      <c r="D744" s="955"/>
      <c r="E744" s="1007"/>
      <c r="F744" s="1008"/>
      <c r="G744" s="1007">
        <f>+VLOOKUP(Data_Validation!$A744,BV_Data_An_Cour!$L:$Q,6,0)</f>
        <v>0</v>
      </c>
      <c r="H744" s="165"/>
    </row>
    <row r="745" spans="1:29" ht="15" customHeight="1">
      <c r="A745" s="167"/>
      <c r="B745" s="571"/>
      <c r="C745" s="955"/>
      <c r="D745" s="955"/>
      <c r="E745" s="1007"/>
      <c r="F745" s="1008"/>
      <c r="G745" s="1007">
        <f>+VLOOKUP(Data_Validation!$A745,BV_Data_An_Cour!$L:$Q,6,0)</f>
        <v>0</v>
      </c>
      <c r="H745" s="165"/>
    </row>
    <row r="746" spans="1:29" ht="15" customHeight="1">
      <c r="A746" s="167"/>
      <c r="B746" s="166"/>
      <c r="C746" s="955"/>
      <c r="D746" s="955"/>
      <c r="E746" s="1007"/>
      <c r="F746" s="1008"/>
      <c r="G746" s="1007">
        <f>+VLOOKUP(Data_Validation!$A746,BV_Data_An_Cour!$L:$Q,6,0)</f>
        <v>0</v>
      </c>
      <c r="H746" s="165"/>
    </row>
    <row r="747" spans="1:29" ht="15" customHeight="1">
      <c r="A747" s="167"/>
      <c r="B747" s="166"/>
      <c r="C747" s="955"/>
      <c r="D747" s="955"/>
      <c r="E747" s="1007"/>
      <c r="F747" s="1008"/>
      <c r="G747" s="1007">
        <f>+VLOOKUP(Data_Validation!$A747,BV_Data_An_Cour!$L:$Q,6,0)</f>
        <v>0</v>
      </c>
      <c r="H747" s="165"/>
    </row>
    <row r="748" spans="1:29" ht="15" customHeight="1">
      <c r="A748" s="167"/>
      <c r="B748" s="166"/>
      <c r="C748" s="955"/>
      <c r="D748" s="955"/>
      <c r="E748" s="1007"/>
      <c r="F748" s="1008"/>
      <c r="G748" s="1007">
        <f>+VLOOKUP(Data_Validation!$A748,BV_Data_An_Cour!$L:$Q,6,0)</f>
        <v>0</v>
      </c>
      <c r="H748" s="165"/>
    </row>
    <row r="749" spans="1:29" ht="15" customHeight="1">
      <c r="A749" s="167"/>
      <c r="B749" s="166"/>
      <c r="C749" s="955"/>
      <c r="D749" s="955"/>
      <c r="E749" s="1007"/>
      <c r="F749" s="1008"/>
      <c r="G749" s="1007">
        <f>+VLOOKUP(Data_Validation!$A749,BV_Data_An_Cour!$L:$Q,6,0)</f>
        <v>0</v>
      </c>
      <c r="H749" s="165"/>
    </row>
    <row r="750" spans="1:29" ht="15" customHeight="1">
      <c r="A750" s="167"/>
      <c r="B750" s="166"/>
      <c r="C750" s="955"/>
      <c r="D750" s="955"/>
      <c r="E750" s="1007"/>
      <c r="F750" s="1008"/>
      <c r="G750" s="1007">
        <f>+VLOOKUP(Data_Validation!$A750,BV_Data_An_Cour!$L:$Q,6,0)</f>
        <v>0</v>
      </c>
      <c r="H750" s="165"/>
      <c r="K750" s="2"/>
    </row>
    <row r="751" spans="1:29" ht="15" customHeight="1">
      <c r="A751" s="167"/>
      <c r="B751" s="166"/>
      <c r="C751" s="955"/>
      <c r="D751" s="955"/>
      <c r="E751" s="1007"/>
      <c r="F751" s="1008"/>
      <c r="G751" s="1007">
        <f>+VLOOKUP(Data_Validation!$A751,BV_Data_An_Cour!$L:$Q,6,0)</f>
        <v>0</v>
      </c>
      <c r="H751" s="165"/>
    </row>
    <row r="752" spans="1:29" ht="15" customHeight="1">
      <c r="A752" s="167"/>
      <c r="B752" s="166"/>
      <c r="C752" s="955"/>
      <c r="D752" s="955"/>
      <c r="E752" s="1007"/>
      <c r="F752" s="1008"/>
      <c r="G752" s="1007">
        <f>+VLOOKUP(Data_Validation!$A752,BV_Data_An_Cour!$L:$Q,6,0)</f>
        <v>0</v>
      </c>
      <c r="H752" s="165"/>
    </row>
    <row r="753" spans="1:29" ht="15" customHeight="1">
      <c r="A753" s="167"/>
      <c r="B753" s="166"/>
      <c r="C753" s="955"/>
      <c r="D753" s="955"/>
      <c r="E753" s="1007"/>
      <c r="F753" s="1008"/>
      <c r="G753" s="1007">
        <f>+VLOOKUP(Data_Validation!$A753,BV_Data_An_Cour!$L:$Q,6,0)</f>
        <v>0</v>
      </c>
      <c r="H753" s="165"/>
    </row>
    <row r="754" spans="1:29" ht="15" customHeight="1">
      <c r="A754" s="167"/>
      <c r="B754" s="166"/>
      <c r="C754" s="955"/>
      <c r="D754" s="955"/>
      <c r="E754" s="1007"/>
      <c r="F754" s="1008"/>
      <c r="G754" s="1007">
        <f>+VLOOKUP(Data_Validation!$A754,BV_Data_An_Cour!$L:$Q,6,0)</f>
        <v>0</v>
      </c>
      <c r="H754" s="165"/>
    </row>
    <row r="755" spans="1:29" ht="15" customHeight="1">
      <c r="A755" s="167"/>
      <c r="B755" s="166"/>
      <c r="C755" s="955"/>
      <c r="D755" s="955"/>
      <c r="E755" s="1007"/>
      <c r="F755" s="1008"/>
      <c r="G755" s="1007">
        <f>+VLOOKUP(Data_Validation!$A755,BV_Data_An_Cour!$L:$Q,6,0)</f>
        <v>0</v>
      </c>
    </row>
    <row r="756" spans="1:29" ht="15" customHeight="1">
      <c r="A756" s="166"/>
      <c r="B756" s="166"/>
      <c r="C756" s="955"/>
      <c r="D756" s="955"/>
      <c r="E756" s="1007"/>
      <c r="F756" s="1008"/>
      <c r="G756" s="1007">
        <f>+VLOOKUP(Data_Validation!$A756,BV_Data_An_Cour!$L:$Q,6,0)</f>
        <v>0</v>
      </c>
    </row>
    <row r="757" spans="1:29" ht="15" customHeight="1">
      <c r="A757" s="166"/>
      <c r="B757" s="166"/>
      <c r="C757" s="955"/>
      <c r="D757" s="955"/>
      <c r="E757" s="1007"/>
      <c r="F757" s="1008"/>
      <c r="G757" s="1007">
        <f>+VLOOKUP(Data_Validation!$A757,BV_Data_An_Cour!$L:$Q,6,0)</f>
        <v>0</v>
      </c>
      <c r="H757" s="165"/>
    </row>
    <row r="758" spans="1:29" ht="15" customHeight="1">
      <c r="A758" s="167"/>
      <c r="B758" s="166"/>
      <c r="C758" s="955"/>
      <c r="D758" s="955"/>
      <c r="E758" s="1007"/>
      <c r="F758" s="1008"/>
      <c r="G758" s="1007">
        <f>+VLOOKUP(Data_Validation!$A758,BV_Data_An_Cour!$L:$Q,6,0)</f>
        <v>0</v>
      </c>
      <c r="H758" s="165"/>
    </row>
    <row r="759" spans="1:29" ht="15" customHeight="1">
      <c r="A759" s="167"/>
      <c r="B759" s="166"/>
      <c r="C759" s="955"/>
      <c r="D759" s="955"/>
      <c r="E759" s="1007"/>
      <c r="F759" s="1008"/>
      <c r="G759" s="1007">
        <f>+VLOOKUP(Data_Validation!$A759,BV_Data_An_Cour!$L:$Q,6,0)</f>
        <v>0</v>
      </c>
      <c r="H759" s="165"/>
      <c r="I759" s="2"/>
      <c r="J759" s="2"/>
      <c r="K759" s="2"/>
      <c r="L759" s="2"/>
      <c r="M759" s="2"/>
      <c r="N759" s="2"/>
      <c r="O759" s="2"/>
      <c r="P759" s="2"/>
      <c r="Q759" s="2"/>
      <c r="R759" s="2"/>
      <c r="S759" s="2"/>
      <c r="T759" s="2"/>
      <c r="U759" s="2"/>
      <c r="V759" s="2"/>
      <c r="W759" s="2"/>
      <c r="X759" s="2"/>
      <c r="Y759" s="2"/>
      <c r="Z759" s="2"/>
      <c r="AA759" s="2"/>
      <c r="AB759" s="2"/>
      <c r="AC759" s="2"/>
    </row>
    <row r="760" spans="1:29" ht="15" customHeight="1">
      <c r="A760" s="167"/>
      <c r="B760" s="166"/>
      <c r="C760" s="955"/>
      <c r="D760" s="955"/>
      <c r="E760" s="1007"/>
      <c r="F760" s="1008"/>
      <c r="G760" s="1007">
        <f>+VLOOKUP(Data_Validation!$A760,BV_Data_An_Cour!$L:$Q,6,0)</f>
        <v>0</v>
      </c>
      <c r="H760" s="165"/>
      <c r="I760" s="2"/>
      <c r="J760" s="2"/>
      <c r="L760" s="2"/>
      <c r="M760" s="2"/>
      <c r="N760" s="2"/>
      <c r="O760" s="2"/>
      <c r="P760" s="2"/>
      <c r="Q760" s="2"/>
      <c r="R760" s="2"/>
      <c r="S760" s="2"/>
      <c r="T760" s="2"/>
      <c r="U760" s="2"/>
      <c r="V760" s="2"/>
      <c r="W760" s="2"/>
      <c r="X760" s="2"/>
      <c r="Y760" s="2"/>
      <c r="Z760" s="2"/>
      <c r="AA760" s="2"/>
      <c r="AB760" s="2"/>
      <c r="AC760" s="2"/>
    </row>
    <row r="761" spans="1:29" ht="15" customHeight="1">
      <c r="A761" s="167"/>
      <c r="B761" s="166"/>
      <c r="C761" s="955"/>
      <c r="D761" s="955"/>
      <c r="E761" s="1007"/>
      <c r="F761" s="1008"/>
      <c r="G761" s="1007">
        <f>+VLOOKUP(Data_Validation!$A761,BV_Data_An_Cour!$L:$Q,6,0)</f>
        <v>0</v>
      </c>
      <c r="H761" s="165"/>
    </row>
    <row r="762" spans="1:29" ht="15" customHeight="1">
      <c r="A762" s="167"/>
      <c r="B762" s="166"/>
      <c r="C762" s="955"/>
      <c r="D762" s="955"/>
      <c r="E762" s="1007"/>
      <c r="F762" s="1008"/>
      <c r="G762" s="1007">
        <f>+VLOOKUP(Data_Validation!$A762,BV_Data_An_Cour!$L:$Q,6,0)</f>
        <v>0</v>
      </c>
      <c r="H762" s="165"/>
    </row>
    <row r="763" spans="1:29" ht="15" customHeight="1">
      <c r="A763" s="167"/>
      <c r="B763" s="166"/>
      <c r="C763" s="955"/>
      <c r="D763" s="955"/>
      <c r="E763" s="1007"/>
      <c r="F763" s="1008"/>
      <c r="G763" s="1007">
        <f>+VLOOKUP(Data_Validation!$A763,BV_Data_An_Cour!$L:$Q,6,0)</f>
        <v>0</v>
      </c>
      <c r="H763" s="165"/>
    </row>
    <row r="764" spans="1:29" ht="15" customHeight="1">
      <c r="A764" s="167"/>
      <c r="B764" s="1029"/>
      <c r="C764" s="1021"/>
      <c r="D764" s="955"/>
      <c r="E764" s="1007"/>
      <c r="F764" s="1008"/>
      <c r="G764" s="1007">
        <f>+VLOOKUP(Data_Validation!$A764,BV_Data_An_Cour!$L:$Q,6,0)</f>
        <v>0</v>
      </c>
      <c r="H764" s="165"/>
    </row>
    <row r="765" spans="1:29" ht="15" customHeight="1">
      <c r="A765" s="167"/>
      <c r="B765" s="166"/>
      <c r="C765" s="955"/>
      <c r="D765" s="955"/>
      <c r="E765" s="1007"/>
      <c r="F765" s="1008"/>
      <c r="G765" s="1007">
        <f>+VLOOKUP(Data_Validation!$A765,BV_Data_An_Cour!$L:$Q,6,0)</f>
        <v>0</v>
      </c>
      <c r="H765" s="188"/>
    </row>
    <row r="766" spans="1:29" ht="15" customHeight="1">
      <c r="A766" s="167"/>
      <c r="B766" s="166"/>
      <c r="C766" s="955"/>
      <c r="D766" s="955"/>
      <c r="E766" s="1007"/>
      <c r="F766" s="1008"/>
      <c r="G766" s="1007">
        <f>+VLOOKUP(Data_Validation!$A766,BV_Data_An_Cour!$L:$Q,6,0)</f>
        <v>0</v>
      </c>
      <c r="H766" s="188"/>
      <c r="I766" s="2"/>
      <c r="J766" s="2"/>
      <c r="L766" s="2"/>
      <c r="M766" s="2"/>
      <c r="N766" s="2"/>
      <c r="O766" s="2"/>
      <c r="P766" s="2"/>
      <c r="Q766" s="2"/>
      <c r="R766" s="2"/>
      <c r="S766" s="2"/>
      <c r="T766" s="2"/>
      <c r="U766" s="2"/>
      <c r="V766" s="2"/>
      <c r="W766" s="2"/>
      <c r="X766" s="2"/>
      <c r="Y766" s="2"/>
      <c r="Z766" s="2"/>
      <c r="AA766" s="2"/>
      <c r="AB766" s="2"/>
      <c r="AC766" s="2"/>
    </row>
    <row r="767" spans="1:29" ht="15" customHeight="1">
      <c r="A767" s="167"/>
      <c r="B767" s="166"/>
      <c r="C767" s="955"/>
      <c r="D767" s="955"/>
      <c r="E767" s="1007"/>
      <c r="F767" s="1008"/>
      <c r="G767" s="1007">
        <f>+VLOOKUP(Data_Validation!$A767,BV_Data_An_Cour!$L:$Q,6,0)</f>
        <v>0</v>
      </c>
      <c r="H767" s="188"/>
    </row>
    <row r="768" spans="1:29" ht="15" customHeight="1">
      <c r="A768" s="167"/>
      <c r="B768" s="166"/>
      <c r="C768" s="955"/>
      <c r="D768" s="955"/>
      <c r="E768" s="1007"/>
      <c r="F768" s="1008"/>
      <c r="G768" s="1007">
        <f>+VLOOKUP(Data_Validation!$A768,BV_Data_An_Cour!$L:$Q,6,0)</f>
        <v>0</v>
      </c>
      <c r="H768" s="188"/>
    </row>
    <row r="769" spans="1:8" ht="15" customHeight="1">
      <c r="A769" s="167"/>
      <c r="B769" s="166"/>
      <c r="C769" s="955"/>
      <c r="D769" s="955"/>
      <c r="E769" s="1007"/>
      <c r="F769" s="1008"/>
      <c r="G769" s="1007">
        <f>+VLOOKUP(Data_Validation!$A769,BV_Data_An_Cour!$L:$Q,6,0)</f>
        <v>0</v>
      </c>
      <c r="H769" s="188"/>
    </row>
    <row r="770" spans="1:8" ht="15" customHeight="1">
      <c r="A770" s="167"/>
      <c r="B770" s="166"/>
      <c r="C770" s="955"/>
      <c r="D770" s="955"/>
      <c r="E770" s="1007"/>
      <c r="F770" s="1008"/>
      <c r="G770" s="1007">
        <f>+VLOOKUP(Data_Validation!$A770,BV_Data_An_Cour!$L:$Q,6,0)</f>
        <v>0</v>
      </c>
      <c r="H770" s="188"/>
    </row>
    <row r="771" spans="1:8" ht="15" customHeight="1">
      <c r="A771" s="167"/>
      <c r="B771" s="166"/>
      <c r="C771" s="955"/>
      <c r="D771" s="955"/>
      <c r="E771" s="1007"/>
      <c r="F771" s="1008"/>
      <c r="G771" s="1007">
        <f>+VLOOKUP(Data_Validation!$A771,BV_Data_An_Cour!$L:$Q,6,0)</f>
        <v>0</v>
      </c>
      <c r="H771" s="188"/>
    </row>
    <row r="772" spans="1:8" ht="15" customHeight="1">
      <c r="A772" s="167"/>
      <c r="B772" s="166"/>
      <c r="C772" s="955"/>
      <c r="D772" s="955"/>
      <c r="E772" s="1007"/>
      <c r="F772" s="1008"/>
      <c r="G772" s="1007">
        <f>+VLOOKUP(Data_Validation!$A772,BV_Data_An_Cour!$L:$Q,6,0)</f>
        <v>0</v>
      </c>
      <c r="H772" s="188"/>
    </row>
    <row r="773" spans="1:8" ht="15" customHeight="1">
      <c r="A773" s="167"/>
      <c r="B773" s="166"/>
      <c r="C773" s="955"/>
      <c r="D773" s="955"/>
      <c r="E773" s="1007"/>
      <c r="F773" s="1008"/>
      <c r="G773" s="1007">
        <f>+VLOOKUP(Data_Validation!$A773,BV_Data_An_Cour!$L:$Q,6,0)</f>
        <v>0</v>
      </c>
      <c r="H773" s="188"/>
    </row>
    <row r="774" spans="1:8" ht="15" customHeight="1">
      <c r="A774" s="167"/>
      <c r="B774" s="166"/>
      <c r="C774" s="955"/>
      <c r="D774" s="955"/>
      <c r="E774" s="1007"/>
      <c r="F774" s="1008"/>
      <c r="G774" s="1007">
        <f>+VLOOKUP(Data_Validation!$A774,BV_Data_An_Cour!$L:$Q,6,0)</f>
        <v>0</v>
      </c>
      <c r="H774" s="188"/>
    </row>
    <row r="775" spans="1:8" ht="15" customHeight="1">
      <c r="A775" s="167"/>
      <c r="B775" s="166"/>
      <c r="C775" s="955"/>
      <c r="D775" s="955"/>
      <c r="E775" s="1007"/>
      <c r="F775" s="1008"/>
      <c r="G775" s="1007">
        <f>+VLOOKUP(Data_Validation!$A775,BV_Data_An_Cour!$L:$Q,6,0)</f>
        <v>0</v>
      </c>
      <c r="H775" s="188"/>
    </row>
    <row r="776" spans="1:8" ht="15" customHeight="1">
      <c r="A776" s="167"/>
      <c r="B776" s="166"/>
      <c r="C776" s="955"/>
      <c r="D776" s="955"/>
      <c r="E776" s="1007"/>
      <c r="F776" s="1008"/>
      <c r="G776" s="1007">
        <f>+VLOOKUP(Data_Validation!$A776,BV_Data_An_Cour!$L:$Q,6,0)</f>
        <v>0</v>
      </c>
      <c r="H776" s="188"/>
    </row>
    <row r="777" spans="1:8" ht="15" customHeight="1">
      <c r="A777" s="167"/>
      <c r="B777" s="166"/>
      <c r="C777" s="955"/>
      <c r="D777" s="955"/>
      <c r="E777" s="1007"/>
      <c r="F777" s="1008"/>
      <c r="G777" s="1007">
        <f>+VLOOKUP(Data_Validation!$A777,BV_Data_An_Cour!$L:$Q,6,0)</f>
        <v>0</v>
      </c>
      <c r="H777" s="188"/>
    </row>
    <row r="778" spans="1:8" ht="15" customHeight="1">
      <c r="A778" s="167"/>
      <c r="B778" s="166"/>
      <c r="C778" s="955"/>
      <c r="D778" s="955"/>
      <c r="E778" s="1007"/>
      <c r="F778" s="1008"/>
      <c r="G778" s="1007">
        <f>+VLOOKUP(Data_Validation!$A778,BV_Data_An_Cour!$L:$Q,6,0)</f>
        <v>0</v>
      </c>
      <c r="H778" s="165"/>
    </row>
    <row r="779" spans="1:8" ht="15" customHeight="1">
      <c r="A779" s="167"/>
      <c r="B779" s="166"/>
      <c r="C779" s="955"/>
      <c r="D779" s="955"/>
      <c r="E779" s="1007"/>
      <c r="F779" s="1008"/>
      <c r="G779" s="1007">
        <f>+VLOOKUP(Data_Validation!$A779,BV_Data_An_Cour!$L:$Q,6,0)</f>
        <v>0</v>
      </c>
      <c r="H779" s="165"/>
    </row>
    <row r="780" spans="1:8" ht="15" customHeight="1">
      <c r="A780" s="167"/>
      <c r="B780" s="166"/>
      <c r="C780" s="955"/>
      <c r="D780" s="955"/>
      <c r="E780" s="1007"/>
      <c r="F780" s="1008"/>
      <c r="G780" s="1007">
        <f>+VLOOKUP(Data_Validation!$A780,BV_Data_An_Cour!$L:$Q,6,0)</f>
        <v>0</v>
      </c>
      <c r="H780" s="165"/>
    </row>
    <row r="781" spans="1:8" ht="15" customHeight="1">
      <c r="A781" s="167"/>
      <c r="B781" s="166"/>
      <c r="C781" s="955"/>
      <c r="D781" s="955"/>
      <c r="E781" s="1007"/>
      <c r="F781" s="1008"/>
      <c r="G781" s="1007">
        <f>+VLOOKUP(Data_Validation!$A781,BV_Data_An_Cour!$L:$Q,6,0)</f>
        <v>0</v>
      </c>
      <c r="H781" s="165"/>
    </row>
    <row r="782" spans="1:8" ht="15" customHeight="1">
      <c r="A782" s="167"/>
      <c r="B782" s="166"/>
      <c r="C782" s="955"/>
      <c r="D782" s="955"/>
      <c r="E782" s="1007"/>
      <c r="F782" s="1008"/>
      <c r="G782" s="1007">
        <f>+VLOOKUP(Data_Validation!$A782,BV_Data_An_Cour!$L:$Q,6,0)</f>
        <v>0</v>
      </c>
      <c r="H782" s="165"/>
    </row>
    <row r="783" spans="1:8" ht="15" customHeight="1">
      <c r="A783" s="167"/>
      <c r="B783" s="166"/>
      <c r="C783" s="955"/>
      <c r="D783" s="955"/>
      <c r="E783" s="1007"/>
      <c r="F783" s="1008"/>
      <c r="G783" s="1007">
        <f>+VLOOKUP(Data_Validation!$A783,BV_Data_An_Cour!$L:$Q,6,0)</f>
        <v>0</v>
      </c>
      <c r="H783" s="165"/>
    </row>
    <row r="784" spans="1:8" ht="15" customHeight="1">
      <c r="A784" s="167"/>
      <c r="B784" s="166"/>
      <c r="C784" s="955"/>
      <c r="D784" s="955"/>
      <c r="E784" s="1007"/>
      <c r="F784" s="1008"/>
      <c r="G784" s="1007">
        <f>+VLOOKUP(Data_Validation!$A784,BV_Data_An_Cour!$L:$Q,6,0)</f>
        <v>0</v>
      </c>
      <c r="H784" s="165"/>
    </row>
    <row r="785" spans="1:8" ht="15" customHeight="1">
      <c r="A785" s="167"/>
      <c r="B785" s="166"/>
      <c r="C785" s="955"/>
      <c r="D785" s="955"/>
      <c r="E785" s="1007"/>
      <c r="F785" s="1008"/>
      <c r="G785" s="1007">
        <f>+VLOOKUP(Data_Validation!$A785,BV_Data_An_Cour!$L:$Q,6,0)</f>
        <v>0</v>
      </c>
      <c r="H785" s="165"/>
    </row>
    <row r="786" spans="1:8" ht="15" customHeight="1">
      <c r="A786" s="176"/>
      <c r="B786" s="1028"/>
      <c r="C786" s="955"/>
      <c r="D786" s="955"/>
      <c r="E786" s="1007"/>
      <c r="F786" s="1008"/>
      <c r="G786" s="1007">
        <f>+VLOOKUP(Data_Validation!$A786,BV_Data_An_Cour!$L:$Q,6,0)</f>
        <v>0</v>
      </c>
      <c r="H786" s="165"/>
    </row>
    <row r="787" spans="1:8" ht="15" customHeight="1">
      <c r="A787" s="167"/>
      <c r="B787" s="166"/>
      <c r="C787" s="955"/>
      <c r="D787" s="955"/>
      <c r="E787" s="1007"/>
      <c r="F787" s="1008"/>
      <c r="G787" s="1007">
        <f>+VLOOKUP(Data_Validation!$A787,BV_Data_An_Cour!$L:$Q,6,0)</f>
        <v>0</v>
      </c>
      <c r="H787" s="165"/>
    </row>
    <row r="788" spans="1:8" ht="15" customHeight="1">
      <c r="A788" s="167"/>
      <c r="B788" s="166"/>
      <c r="C788" s="955"/>
      <c r="D788" s="955"/>
      <c r="E788" s="1007"/>
      <c r="F788" s="1008"/>
      <c r="G788" s="1007">
        <f>+VLOOKUP(Data_Validation!$A788,BV_Data_An_Cour!$L:$Q,6,0)</f>
        <v>0</v>
      </c>
      <c r="H788" s="188"/>
    </row>
    <row r="789" spans="1:8" ht="15" customHeight="1">
      <c r="A789" s="167"/>
      <c r="B789" s="166"/>
      <c r="C789" s="955"/>
      <c r="D789" s="955"/>
      <c r="E789" s="1007"/>
      <c r="F789" s="1008"/>
      <c r="G789" s="1007">
        <f>+VLOOKUP(Data_Validation!$A789,BV_Data_An_Cour!$L:$Q,6,0)</f>
        <v>0</v>
      </c>
      <c r="H789" s="188"/>
    </row>
    <row r="790" spans="1:8" ht="15" customHeight="1">
      <c r="A790" s="167"/>
      <c r="B790" s="166"/>
      <c r="C790" s="955"/>
      <c r="D790" s="955"/>
      <c r="E790" s="1007"/>
      <c r="F790" s="1008"/>
      <c r="G790" s="1007">
        <f>+VLOOKUP(Data_Validation!$A790,BV_Data_An_Cour!$L:$Q,6,0)</f>
        <v>0</v>
      </c>
      <c r="H790" s="188"/>
    </row>
    <row r="791" spans="1:8" ht="15" customHeight="1">
      <c r="A791" s="166"/>
      <c r="B791" s="166"/>
      <c r="C791" s="955"/>
      <c r="D791" s="955"/>
      <c r="E791" s="1007"/>
      <c r="F791" s="1008"/>
      <c r="G791" s="1007">
        <f>+VLOOKUP(Data_Validation!$A791,BV_Data_An_Cour!$L:$Q,6,0)</f>
        <v>0</v>
      </c>
      <c r="H791" s="188"/>
    </row>
    <row r="792" spans="1:8" ht="15" customHeight="1">
      <c r="A792" s="167"/>
      <c r="B792" s="166"/>
      <c r="C792" s="955"/>
      <c r="D792" s="955"/>
      <c r="E792" s="1007"/>
      <c r="F792" s="1008"/>
      <c r="G792" s="1007">
        <f>+VLOOKUP(Data_Validation!$A792,BV_Data_An_Cour!$L:$Q,6,0)</f>
        <v>0</v>
      </c>
      <c r="H792" s="188"/>
    </row>
    <row r="793" spans="1:8" ht="15" customHeight="1">
      <c r="A793" s="167"/>
      <c r="B793" s="166"/>
      <c r="C793" s="955"/>
      <c r="D793" s="955"/>
      <c r="E793" s="1007"/>
      <c r="F793" s="1008"/>
      <c r="G793" s="1007">
        <f>+VLOOKUP(Data_Validation!$A793,BV_Data_An_Cour!$L:$Q,6,0)</f>
        <v>0</v>
      </c>
      <c r="H793" s="188"/>
    </row>
    <row r="794" spans="1:8" ht="15" customHeight="1">
      <c r="A794" s="167"/>
      <c r="B794" s="166"/>
      <c r="C794" s="955"/>
      <c r="D794" s="955"/>
      <c r="E794" s="1007"/>
      <c r="F794" s="1008"/>
      <c r="G794" s="1007">
        <f>+VLOOKUP(Data_Validation!$A794,BV_Data_An_Cour!$L:$Q,6,0)</f>
        <v>0</v>
      </c>
      <c r="H794" s="188"/>
    </row>
    <row r="795" spans="1:8" ht="15" customHeight="1">
      <c r="A795" s="167"/>
      <c r="B795" s="166"/>
      <c r="C795" s="955"/>
      <c r="D795" s="955"/>
      <c r="E795" s="1007"/>
      <c r="F795" s="1008"/>
      <c r="G795" s="1007">
        <f>+VLOOKUP(Data_Validation!$A795,BV_Data_An_Cour!$L:$Q,6,0)</f>
        <v>0</v>
      </c>
      <c r="H795" s="188"/>
    </row>
    <row r="796" spans="1:8" ht="15" customHeight="1">
      <c r="A796" s="167"/>
      <c r="B796" s="166"/>
      <c r="C796" s="955"/>
      <c r="D796" s="955"/>
      <c r="E796" s="1007"/>
      <c r="F796" s="1008"/>
      <c r="G796" s="1007">
        <f>+VLOOKUP(Data_Validation!$A796,BV_Data_An_Cour!$L:$Q,6,0)</f>
        <v>0</v>
      </c>
      <c r="H796" s="188"/>
    </row>
    <row r="797" spans="1:8" ht="15" customHeight="1">
      <c r="A797" s="167"/>
      <c r="B797" s="166"/>
      <c r="C797" s="955"/>
      <c r="D797" s="955"/>
      <c r="E797" s="1007"/>
      <c r="F797" s="1008"/>
      <c r="G797" s="1007">
        <f>+VLOOKUP(Data_Validation!$A797,BV_Data_An_Cour!$L:$Q,6,0)</f>
        <v>0</v>
      </c>
      <c r="H797" s="188"/>
    </row>
    <row r="798" spans="1:8" ht="15" customHeight="1">
      <c r="A798" s="167"/>
      <c r="B798" s="166"/>
      <c r="C798" s="955"/>
      <c r="D798" s="955"/>
      <c r="E798" s="1007"/>
      <c r="F798" s="1008"/>
      <c r="G798" s="1007">
        <f>+VLOOKUP(Data_Validation!$A798,BV_Data_An_Cour!$L:$Q,6,0)</f>
        <v>0</v>
      </c>
      <c r="H798" s="188"/>
    </row>
    <row r="799" spans="1:8" ht="15" customHeight="1">
      <c r="A799" s="167"/>
      <c r="B799" s="166"/>
      <c r="C799" s="955"/>
      <c r="D799" s="955"/>
      <c r="E799" s="1007"/>
      <c r="F799" s="1008"/>
      <c r="G799" s="1007">
        <f>+VLOOKUP(Data_Validation!$A799,BV_Data_An_Cour!$L:$Q,6,0)</f>
        <v>0</v>
      </c>
      <c r="H799" s="188"/>
    </row>
    <row r="800" spans="1:8" ht="15" customHeight="1">
      <c r="A800" s="167"/>
      <c r="B800" s="166"/>
      <c r="C800" s="955"/>
      <c r="D800" s="955"/>
      <c r="E800" s="1007"/>
      <c r="F800" s="1008"/>
      <c r="G800" s="1007">
        <f>+VLOOKUP(Data_Validation!$A800,BV_Data_An_Cour!$L:$Q,6,0)</f>
        <v>0</v>
      </c>
      <c r="H800" s="188"/>
    </row>
    <row r="801" spans="1:29" ht="15" customHeight="1">
      <c r="A801" s="167"/>
      <c r="B801" s="166"/>
      <c r="C801" s="955"/>
      <c r="D801" s="955"/>
      <c r="E801" s="1007"/>
      <c r="F801" s="1008"/>
      <c r="G801" s="1007">
        <f>+VLOOKUP(Data_Validation!$A801,BV_Data_An_Cour!$L:$Q,6,0)</f>
        <v>0</v>
      </c>
      <c r="H801" s="188"/>
    </row>
    <row r="802" spans="1:29" ht="15" customHeight="1">
      <c r="A802" s="167"/>
      <c r="B802" s="166"/>
      <c r="C802" s="955"/>
      <c r="D802" s="955"/>
      <c r="E802" s="1007"/>
      <c r="F802" s="1008"/>
      <c r="G802" s="1007">
        <f>+VLOOKUP(Data_Validation!$A802,BV_Data_An_Cour!$L:$Q,6,0)</f>
        <v>0</v>
      </c>
      <c r="H802" s="188"/>
    </row>
    <row r="803" spans="1:29" ht="15" customHeight="1">
      <c r="A803" s="167"/>
      <c r="B803" s="166"/>
      <c r="C803" s="955"/>
      <c r="D803" s="955"/>
      <c r="E803" s="1007"/>
      <c r="F803" s="1008"/>
      <c r="G803" s="1007">
        <f>+VLOOKUP(Data_Validation!$A803,BV_Data_An_Cour!$L:$Q,6,0)</f>
        <v>0</v>
      </c>
      <c r="H803" s="188"/>
    </row>
    <row r="804" spans="1:29" ht="15" customHeight="1">
      <c r="A804" s="167"/>
      <c r="B804" s="166"/>
      <c r="C804" s="955"/>
      <c r="D804" s="955"/>
      <c r="E804" s="1007"/>
      <c r="F804" s="1008"/>
      <c r="G804" s="1007">
        <f>+VLOOKUP(Data_Validation!$A804,BV_Data_An_Cour!$L:$Q,6,0)</f>
        <v>0</v>
      </c>
      <c r="H804" s="188"/>
    </row>
    <row r="805" spans="1:29" ht="15" customHeight="1">
      <c r="A805" s="167"/>
      <c r="B805" s="166"/>
      <c r="C805" s="955"/>
      <c r="D805" s="955"/>
      <c r="E805" s="1007"/>
      <c r="F805" s="1008"/>
      <c r="G805" s="1007">
        <f>+VLOOKUP(Data_Validation!$A805,BV_Data_An_Cour!$L:$Q,6,0)</f>
        <v>0</v>
      </c>
      <c r="H805" s="188"/>
    </row>
    <row r="806" spans="1:29" ht="15" customHeight="1">
      <c r="A806" s="167"/>
      <c r="B806" s="166"/>
      <c r="C806" s="955"/>
      <c r="D806" s="955"/>
      <c r="E806" s="1007"/>
      <c r="F806" s="1008"/>
      <c r="G806" s="1007">
        <f>+VLOOKUP(Data_Validation!$A806,BV_Data_An_Cour!$L:$Q,6,0)</f>
        <v>0</v>
      </c>
      <c r="H806" s="188"/>
    </row>
    <row r="807" spans="1:29" ht="15" customHeight="1">
      <c r="A807" s="167"/>
      <c r="B807" s="166"/>
      <c r="C807" s="955"/>
      <c r="D807" s="955"/>
      <c r="E807" s="1007"/>
      <c r="F807" s="1008"/>
      <c r="G807" s="1007">
        <f>+VLOOKUP(Data_Validation!$A807,BV_Data_An_Cour!$L:$Q,6,0)</f>
        <v>0</v>
      </c>
      <c r="H807" s="188"/>
    </row>
    <row r="808" spans="1:29" ht="15" customHeight="1">
      <c r="A808" s="167"/>
      <c r="B808" s="166"/>
      <c r="C808" s="955"/>
      <c r="D808" s="955"/>
      <c r="E808" s="1007"/>
      <c r="F808" s="1008"/>
      <c r="G808" s="1007">
        <f>+VLOOKUP(Data_Validation!$A808,BV_Data_An_Cour!$L:$Q,6,0)</f>
        <v>0</v>
      </c>
      <c r="H808" s="188"/>
    </row>
    <row r="809" spans="1:29" ht="15" customHeight="1">
      <c r="A809" s="167"/>
      <c r="B809" s="166"/>
      <c r="C809" s="955"/>
      <c r="D809" s="955"/>
      <c r="E809" s="1007"/>
      <c r="F809" s="1008"/>
      <c r="G809" s="1007">
        <f>+VLOOKUP(Data_Validation!$A809,BV_Data_An_Cour!$L:$Q,6,0)</f>
        <v>0</v>
      </c>
      <c r="H809" s="188"/>
    </row>
    <row r="810" spans="1:29" ht="15" customHeight="1">
      <c r="A810" s="167"/>
      <c r="B810" s="166"/>
      <c r="C810" s="955"/>
      <c r="D810" s="955"/>
      <c r="E810" s="1007"/>
      <c r="F810" s="1008"/>
      <c r="G810" s="1007">
        <f>+VLOOKUP(Data_Validation!$A810,BV_Data_An_Cour!$L:$Q,6,0)</f>
        <v>0</v>
      </c>
      <c r="H810" s="188"/>
      <c r="K810" s="2"/>
    </row>
    <row r="811" spans="1:29" ht="15" customHeight="1">
      <c r="A811" s="167"/>
      <c r="B811" s="166"/>
      <c r="C811" s="955"/>
      <c r="D811" s="955"/>
      <c r="E811" s="1007"/>
      <c r="F811" s="1008"/>
      <c r="G811" s="1007">
        <f>+VLOOKUP(Data_Validation!$A811,BV_Data_An_Cour!$L:$Q,6,0)</f>
        <v>0</v>
      </c>
      <c r="H811" s="188"/>
      <c r="K811" s="2"/>
    </row>
    <row r="812" spans="1:29" ht="15" customHeight="1">
      <c r="A812" s="166"/>
      <c r="B812" s="166"/>
      <c r="C812" s="955"/>
      <c r="D812" s="955"/>
      <c r="E812" s="1007"/>
      <c r="F812" s="1008"/>
      <c r="G812" s="1007">
        <f>+VLOOKUP(Data_Validation!$A812,BV_Data_An_Cour!$L:$Q,6,0)</f>
        <v>0</v>
      </c>
      <c r="H812" s="188"/>
    </row>
    <row r="813" spans="1:29" ht="15" customHeight="1">
      <c r="A813" s="167"/>
      <c r="B813" s="166"/>
      <c r="C813" s="955"/>
      <c r="D813" s="955"/>
      <c r="E813" s="1007"/>
      <c r="F813" s="1008"/>
      <c r="G813" s="1007">
        <f>+VLOOKUP(Data_Validation!$A813,BV_Data_An_Cour!$L:$Q,6,0)</f>
        <v>0</v>
      </c>
      <c r="H813" s="188"/>
    </row>
    <row r="814" spans="1:29" ht="15" customHeight="1">
      <c r="A814" s="167"/>
      <c r="B814" s="166"/>
      <c r="C814" s="955"/>
      <c r="D814" s="955"/>
      <c r="E814" s="1007"/>
      <c r="F814" s="1008"/>
      <c r="G814" s="1007">
        <f>+VLOOKUP(Data_Validation!$A814,BV_Data_An_Cour!$L:$Q,6,0)</f>
        <v>0</v>
      </c>
      <c r="H814" s="188"/>
    </row>
    <row r="815" spans="1:29" ht="15" customHeight="1">
      <c r="A815" s="167"/>
      <c r="B815" s="166"/>
      <c r="C815" s="955"/>
      <c r="D815" s="955"/>
      <c r="E815" s="1007"/>
      <c r="F815" s="1008"/>
      <c r="G815" s="1007">
        <f>+VLOOKUP(Data_Validation!$A815,BV_Data_An_Cour!$L:$Q,6,0)</f>
        <v>0</v>
      </c>
      <c r="H815" s="188"/>
      <c r="I815" s="2"/>
      <c r="J815" s="2"/>
      <c r="L815" s="2"/>
      <c r="M815" s="2"/>
      <c r="N815" s="2"/>
      <c r="O815" s="2"/>
      <c r="P815" s="2"/>
      <c r="Q815" s="2"/>
      <c r="R815" s="2"/>
      <c r="S815" s="2"/>
      <c r="T815" s="2"/>
      <c r="U815" s="2"/>
      <c r="V815" s="2"/>
      <c r="W815" s="2"/>
      <c r="X815" s="2"/>
      <c r="Y815" s="2"/>
      <c r="Z815" s="2"/>
      <c r="AA815" s="2"/>
      <c r="AB815" s="2"/>
      <c r="AC815" s="2"/>
    </row>
    <row r="816" spans="1:29" ht="15" customHeight="1">
      <c r="A816" s="167"/>
      <c r="B816" s="166"/>
      <c r="C816" s="955"/>
      <c r="D816" s="955"/>
      <c r="E816" s="1007"/>
      <c r="F816" s="1008"/>
      <c r="G816" s="1007">
        <f>+VLOOKUP(Data_Validation!$A816,BV_Data_An_Cour!$L:$Q,6,0)</f>
        <v>0</v>
      </c>
      <c r="H816" s="188"/>
    </row>
    <row r="817" spans="1:11" ht="15" customHeight="1">
      <c r="A817" s="167"/>
      <c r="B817" s="166"/>
      <c r="C817" s="955"/>
      <c r="D817" s="955"/>
      <c r="E817" s="1007"/>
      <c r="F817" s="1008"/>
      <c r="G817" s="1007">
        <f>+VLOOKUP(Data_Validation!$A817,BV_Data_An_Cour!$L:$Q,6,0)</f>
        <v>0</v>
      </c>
      <c r="H817" s="188"/>
      <c r="K817" s="2"/>
    </row>
    <row r="818" spans="1:11" ht="15" customHeight="1">
      <c r="A818" s="167"/>
      <c r="B818" s="166"/>
      <c r="C818" s="955"/>
      <c r="D818" s="955"/>
      <c r="E818" s="1007"/>
      <c r="F818" s="1008"/>
      <c r="G818" s="1007">
        <f>+VLOOKUP(Data_Validation!$A818,BV_Data_An_Cour!$L:$Q,6,0)</f>
        <v>0</v>
      </c>
      <c r="H818" s="188"/>
    </row>
    <row r="819" spans="1:11" ht="15" customHeight="1">
      <c r="A819" s="167"/>
      <c r="B819" s="166"/>
      <c r="C819" s="955"/>
      <c r="D819" s="955"/>
      <c r="E819" s="1007"/>
      <c r="F819" s="1008"/>
      <c r="G819" s="1007">
        <f>+VLOOKUP(Data_Validation!$A819,BV_Data_An_Cour!$L:$Q,6,0)</f>
        <v>0</v>
      </c>
      <c r="H819" s="188"/>
    </row>
    <row r="820" spans="1:11" ht="15" customHeight="1">
      <c r="A820" s="167"/>
      <c r="B820" s="166"/>
      <c r="C820" s="955"/>
      <c r="D820" s="955"/>
      <c r="E820" s="1007"/>
      <c r="F820" s="1008"/>
      <c r="G820" s="1007">
        <f>+VLOOKUP(Data_Validation!$A820,BV_Data_An_Cour!$L:$Q,6,0)</f>
        <v>0</v>
      </c>
      <c r="H820" s="188"/>
    </row>
    <row r="821" spans="1:11" ht="15" customHeight="1">
      <c r="A821" s="167"/>
      <c r="B821" s="166"/>
      <c r="C821" s="955"/>
      <c r="D821" s="955"/>
      <c r="E821" s="1007"/>
      <c r="F821" s="1008"/>
      <c r="G821" s="1007">
        <f>+VLOOKUP(Data_Validation!$A821,BV_Data_An_Cour!$L:$Q,6,0)</f>
        <v>0</v>
      </c>
      <c r="H821" s="188"/>
    </row>
    <row r="822" spans="1:11" ht="15" customHeight="1">
      <c r="A822" s="167"/>
      <c r="B822" s="166"/>
      <c r="C822" s="955"/>
      <c r="D822" s="955"/>
      <c r="E822" s="1007"/>
      <c r="F822" s="1008"/>
      <c r="G822" s="1007">
        <f>+VLOOKUP(Data_Validation!$A822,BV_Data_An_Cour!$L:$Q,6,0)</f>
        <v>0</v>
      </c>
      <c r="H822" s="188"/>
      <c r="K822" s="2"/>
    </row>
    <row r="823" spans="1:11" ht="15" customHeight="1">
      <c r="A823" s="166"/>
      <c r="B823" s="166"/>
      <c r="C823" s="955"/>
      <c r="D823" s="955"/>
      <c r="E823" s="1007"/>
      <c r="F823" s="1008"/>
      <c r="G823" s="1007">
        <f>+VLOOKUP(Data_Validation!$A823,BV_Data_An_Cour!$L:$Q,6,0)</f>
        <v>0</v>
      </c>
      <c r="H823" s="188"/>
    </row>
    <row r="824" spans="1:11" ht="15" customHeight="1">
      <c r="A824" s="166"/>
      <c r="B824" s="166"/>
      <c r="C824" s="955"/>
      <c r="D824" s="955"/>
      <c r="E824" s="1007"/>
      <c r="F824" s="1008"/>
      <c r="G824" s="1007">
        <f>+VLOOKUP(Data_Validation!$A824,BV_Data_An_Cour!$L:$Q,6,0)</f>
        <v>0</v>
      </c>
      <c r="H824" s="188"/>
    </row>
    <row r="825" spans="1:11" ht="15" customHeight="1">
      <c r="A825" s="167"/>
      <c r="B825" s="166"/>
      <c r="C825" s="955"/>
      <c r="D825" s="955"/>
      <c r="E825" s="1007"/>
      <c r="F825" s="1008"/>
      <c r="G825" s="1007">
        <f>+VLOOKUP(Data_Validation!$A825,BV_Data_An_Cour!$L:$Q,6,0)</f>
        <v>0</v>
      </c>
      <c r="H825" s="188"/>
    </row>
    <row r="826" spans="1:11" ht="15" customHeight="1">
      <c r="A826" s="167"/>
      <c r="B826" s="166"/>
      <c r="C826" s="955"/>
      <c r="D826" s="955"/>
      <c r="E826" s="1007"/>
      <c r="F826" s="1008"/>
      <c r="G826" s="1007">
        <f>+VLOOKUP(Data_Validation!$A826,BV_Data_An_Cour!$L:$Q,6,0)</f>
        <v>0</v>
      </c>
      <c r="H826" s="188"/>
    </row>
    <row r="827" spans="1:11" ht="15" customHeight="1">
      <c r="A827" s="167"/>
      <c r="B827" s="166"/>
      <c r="C827" s="955"/>
      <c r="D827" s="955"/>
      <c r="E827" s="1007"/>
      <c r="F827" s="1008"/>
      <c r="G827" s="1007">
        <f>+VLOOKUP(Data_Validation!$A827,BV_Data_An_Cour!$L:$Q,6,0)</f>
        <v>0</v>
      </c>
      <c r="H827" s="188"/>
    </row>
    <row r="828" spans="1:11" ht="15" customHeight="1">
      <c r="A828" s="167"/>
      <c r="B828" s="166"/>
      <c r="C828" s="955"/>
      <c r="D828" s="955"/>
      <c r="E828" s="1007"/>
      <c r="F828" s="1008"/>
      <c r="G828" s="1007">
        <f>+VLOOKUP(Data_Validation!$A828,BV_Data_An_Cour!$L:$Q,6,0)</f>
        <v>0</v>
      </c>
      <c r="H828" s="188"/>
    </row>
    <row r="829" spans="1:11" ht="15" customHeight="1">
      <c r="A829" s="167"/>
      <c r="B829" s="166"/>
      <c r="C829" s="955"/>
      <c r="D829" s="955"/>
      <c r="E829" s="1007"/>
      <c r="F829" s="1008"/>
      <c r="G829" s="1007">
        <f>+VLOOKUP(Data_Validation!$A829,BV_Data_An_Cour!$L:$Q,6,0)</f>
        <v>0</v>
      </c>
      <c r="H829" s="188"/>
    </row>
    <row r="830" spans="1:11" ht="15" customHeight="1">
      <c r="A830" s="167"/>
      <c r="B830" s="166"/>
      <c r="C830" s="955"/>
      <c r="D830" s="955"/>
      <c r="E830" s="1007"/>
      <c r="F830" s="1008"/>
      <c r="G830" s="1007">
        <f>+VLOOKUP(Data_Validation!$A830,BV_Data_An_Cour!$L:$Q,6,0)</f>
        <v>0</v>
      </c>
      <c r="H830" s="188"/>
    </row>
    <row r="831" spans="1:11" ht="15" customHeight="1">
      <c r="A831" s="167"/>
      <c r="B831" s="166"/>
      <c r="C831" s="955"/>
      <c r="D831" s="955"/>
      <c r="E831" s="1007"/>
      <c r="F831" s="1008"/>
      <c r="G831" s="1007">
        <f>+VLOOKUP(Data_Validation!$A831,BV_Data_An_Cour!$L:$Q,6,0)</f>
        <v>0</v>
      </c>
      <c r="H831" s="188"/>
    </row>
    <row r="832" spans="1:11" ht="15" customHeight="1">
      <c r="A832" s="167"/>
      <c r="B832" s="166"/>
      <c r="C832" s="955"/>
      <c r="D832" s="955"/>
      <c r="E832" s="1007"/>
      <c r="F832" s="1008"/>
      <c r="G832" s="1007">
        <f>+VLOOKUP(Data_Validation!$A832,BV_Data_An_Cour!$L:$Q,6,0)</f>
        <v>0</v>
      </c>
      <c r="H832" s="188"/>
    </row>
    <row r="833" spans="1:8" ht="15" customHeight="1">
      <c r="A833" s="167"/>
      <c r="B833" s="166"/>
      <c r="C833" s="955"/>
      <c r="D833" s="955"/>
      <c r="E833" s="1007"/>
      <c r="F833" s="1008"/>
      <c r="G833" s="1007">
        <f>+VLOOKUP(Data_Validation!$A833,BV_Data_An_Cour!$L:$Q,6,0)</f>
        <v>0</v>
      </c>
      <c r="H833" s="188"/>
    </row>
    <row r="834" spans="1:8" ht="15" customHeight="1">
      <c r="A834" s="167"/>
      <c r="B834" s="166"/>
      <c r="C834" s="955"/>
      <c r="D834" s="955"/>
      <c r="E834" s="1007"/>
      <c r="F834" s="1008"/>
      <c r="G834" s="1007">
        <f>+VLOOKUP(Data_Validation!$A834,BV_Data_An_Cour!$L:$Q,6,0)</f>
        <v>0</v>
      </c>
      <c r="H834" s="188"/>
    </row>
    <row r="835" spans="1:8" ht="15" customHeight="1">
      <c r="A835" s="167"/>
      <c r="B835" s="166"/>
      <c r="C835" s="955"/>
      <c r="D835" s="955"/>
      <c r="E835" s="1007"/>
      <c r="F835" s="1008"/>
      <c r="G835" s="1007">
        <f>+VLOOKUP(Data_Validation!$A835,BV_Data_An_Cour!$L:$Q,6,0)</f>
        <v>0</v>
      </c>
      <c r="H835" s="188"/>
    </row>
    <row r="836" spans="1:8" ht="15" customHeight="1">
      <c r="A836" s="167"/>
      <c r="B836" s="166"/>
      <c r="C836" s="955"/>
      <c r="D836" s="955"/>
      <c r="E836" s="1007"/>
      <c r="F836" s="1008"/>
      <c r="G836" s="1007">
        <f>+VLOOKUP(Data_Validation!$A836,BV_Data_An_Cour!$L:$Q,6,0)</f>
        <v>0</v>
      </c>
      <c r="H836" s="188"/>
    </row>
    <row r="837" spans="1:8" ht="15" customHeight="1">
      <c r="A837" s="167"/>
      <c r="B837" s="166"/>
      <c r="C837" s="955"/>
      <c r="D837" s="955"/>
      <c r="E837" s="1007"/>
      <c r="F837" s="1008"/>
      <c r="G837" s="1007">
        <f>+VLOOKUP(Data_Validation!$A837,BV_Data_An_Cour!$L:$Q,6,0)</f>
        <v>0</v>
      </c>
      <c r="H837" s="188"/>
    </row>
    <row r="838" spans="1:8" ht="15" customHeight="1">
      <c r="A838" s="167"/>
      <c r="B838" s="166"/>
      <c r="C838" s="955"/>
      <c r="D838" s="955"/>
      <c r="E838" s="1007"/>
      <c r="F838" s="1008"/>
      <c r="G838" s="1007">
        <f>+VLOOKUP(Data_Validation!$A838,BV_Data_An_Cour!$L:$Q,6,0)</f>
        <v>0</v>
      </c>
      <c r="H838" s="188"/>
    </row>
    <row r="839" spans="1:8" ht="15" customHeight="1">
      <c r="A839" s="167"/>
      <c r="B839" s="166"/>
      <c r="C839" s="955"/>
      <c r="D839" s="955"/>
      <c r="E839" s="1007"/>
      <c r="F839" s="1008"/>
      <c r="G839" s="1007">
        <f>+VLOOKUP(Data_Validation!$A839,BV_Data_An_Cour!$L:$Q,6,0)</f>
        <v>0</v>
      </c>
      <c r="H839" s="188"/>
    </row>
    <row r="840" spans="1:8" ht="15" customHeight="1">
      <c r="A840" s="167"/>
      <c r="B840" s="166"/>
      <c r="C840" s="955"/>
      <c r="D840" s="955"/>
      <c r="E840" s="1007"/>
      <c r="F840" s="1008"/>
      <c r="G840" s="1007">
        <f>+VLOOKUP(Data_Validation!$A840,BV_Data_An_Cour!$L:$Q,6,0)</f>
        <v>0</v>
      </c>
      <c r="H840" s="188"/>
    </row>
    <row r="841" spans="1:8" ht="15" customHeight="1">
      <c r="A841" s="167"/>
      <c r="B841" s="166"/>
      <c r="C841" s="955"/>
      <c r="D841" s="955"/>
      <c r="E841" s="1007"/>
      <c r="F841" s="1008"/>
      <c r="G841" s="1007">
        <f>+VLOOKUP(Data_Validation!$A841,BV_Data_An_Cour!$L:$Q,6,0)</f>
        <v>0</v>
      </c>
      <c r="H841" s="188"/>
    </row>
    <row r="842" spans="1:8" ht="15" customHeight="1">
      <c r="A842" s="167"/>
      <c r="B842" s="166"/>
      <c r="C842" s="955"/>
      <c r="D842" s="955"/>
      <c r="E842" s="1007"/>
      <c r="F842" s="1008"/>
      <c r="G842" s="1007">
        <f>+VLOOKUP(Data_Validation!$A842,BV_Data_An_Cour!$L:$Q,6,0)</f>
        <v>0</v>
      </c>
      <c r="H842" s="188"/>
    </row>
    <row r="843" spans="1:8" ht="15" customHeight="1">
      <c r="A843" s="167"/>
      <c r="B843" s="166"/>
      <c r="C843" s="955"/>
      <c r="D843" s="955"/>
      <c r="E843" s="1007"/>
      <c r="F843" s="1008"/>
      <c r="G843" s="1007">
        <f>+VLOOKUP(Data_Validation!$A843,BV_Data_An_Cour!$L:$Q,6,0)</f>
        <v>0</v>
      </c>
      <c r="H843" s="188"/>
    </row>
    <row r="844" spans="1:8" ht="15" customHeight="1">
      <c r="A844" s="167"/>
      <c r="B844" s="166"/>
      <c r="C844" s="955"/>
      <c r="D844" s="955"/>
      <c r="E844" s="1007"/>
      <c r="F844" s="1008"/>
      <c r="G844" s="1007">
        <f>+VLOOKUP(Data_Validation!$A844,BV_Data_An_Cour!$L:$Q,6,0)</f>
        <v>0</v>
      </c>
      <c r="H844" s="188"/>
    </row>
    <row r="845" spans="1:8" ht="15" customHeight="1">
      <c r="A845" s="167"/>
      <c r="B845" s="166"/>
      <c r="C845" s="955"/>
      <c r="D845" s="955"/>
      <c r="E845" s="1007"/>
      <c r="F845" s="1008"/>
      <c r="G845" s="1007">
        <f>+VLOOKUP(Data_Validation!$A845,BV_Data_An_Cour!$L:$Q,6,0)</f>
        <v>0</v>
      </c>
      <c r="H845" s="188"/>
    </row>
    <row r="846" spans="1:8" ht="15" customHeight="1">
      <c r="A846" s="167"/>
      <c r="B846" s="166"/>
      <c r="C846" s="955"/>
      <c r="D846" s="955"/>
      <c r="E846" s="1007"/>
      <c r="F846" s="1008"/>
      <c r="G846" s="1007">
        <f>+VLOOKUP(Data_Validation!$A846,BV_Data_An_Cour!$L:$Q,6,0)</f>
        <v>0</v>
      </c>
      <c r="H846" s="188"/>
    </row>
    <row r="847" spans="1:8" ht="15" customHeight="1">
      <c r="A847" s="168"/>
      <c r="B847" s="169"/>
      <c r="C847" s="955"/>
      <c r="D847" s="955"/>
      <c r="E847" s="1007"/>
      <c r="F847" s="1008"/>
      <c r="G847" s="1007">
        <f>+VLOOKUP(Data_Validation!$A847,BV_Data_An_Cour!$L:$Q,6,0)</f>
        <v>0</v>
      </c>
      <c r="H847" s="188"/>
    </row>
    <row r="848" spans="1:8" ht="15" customHeight="1">
      <c r="A848" s="166"/>
      <c r="B848" s="166"/>
      <c r="C848" s="955"/>
      <c r="D848" s="955"/>
      <c r="E848" s="1007"/>
      <c r="F848" s="1008"/>
      <c r="G848" s="1007">
        <f>+VLOOKUP(Data_Validation!$A848,BV_Data_An_Cour!$L:$Q,6,0)</f>
        <v>0</v>
      </c>
      <c r="H848" s="188"/>
    </row>
    <row r="849" spans="1:29" ht="15" customHeight="1">
      <c r="A849" s="166"/>
      <c r="B849" s="166"/>
      <c r="C849" s="955"/>
      <c r="D849" s="955"/>
      <c r="E849" s="1007"/>
      <c r="F849" s="1008"/>
      <c r="G849" s="1007">
        <f>+VLOOKUP(Data_Validation!$A849,BV_Data_An_Cour!$L:$Q,6,0)</f>
        <v>0</v>
      </c>
      <c r="H849" s="188"/>
    </row>
    <row r="850" spans="1:29" ht="15" customHeight="1">
      <c r="A850" s="167"/>
      <c r="B850" s="166"/>
      <c r="C850" s="955"/>
      <c r="D850" s="955"/>
      <c r="E850" s="1007"/>
      <c r="F850" s="1008"/>
      <c r="G850" s="1007">
        <f>+VLOOKUP(Data_Validation!$A850,BV_Data_An_Cour!$L:$Q,6,0)</f>
        <v>0</v>
      </c>
      <c r="H850" s="188"/>
    </row>
    <row r="851" spans="1:29" ht="15" customHeight="1">
      <c r="A851" s="167"/>
      <c r="B851" s="166"/>
      <c r="C851" s="955"/>
      <c r="D851" s="955"/>
      <c r="E851" s="1007"/>
      <c r="F851" s="1008"/>
      <c r="G851" s="1007">
        <f>+VLOOKUP(Data_Validation!$A851,BV_Data_An_Cour!$L:$Q,6,0)</f>
        <v>0</v>
      </c>
      <c r="H851" s="188"/>
    </row>
    <row r="852" spans="1:29" ht="15" customHeight="1">
      <c r="A852" s="167"/>
      <c r="B852" s="166"/>
      <c r="C852" s="955"/>
      <c r="D852" s="955"/>
      <c r="E852" s="1007"/>
      <c r="F852" s="1008"/>
      <c r="G852" s="1007">
        <f>+VLOOKUP(Data_Validation!$A852,BV_Data_An_Cour!$L:$Q,6,0)</f>
        <v>0</v>
      </c>
      <c r="H852" s="188"/>
    </row>
    <row r="853" spans="1:29" ht="15" customHeight="1">
      <c r="A853" s="167"/>
      <c r="B853" s="166"/>
      <c r="C853" s="955"/>
      <c r="D853" s="955"/>
      <c r="E853" s="1007"/>
      <c r="F853" s="1008"/>
      <c r="G853" s="1007">
        <f>+VLOOKUP(Data_Validation!$A853,BV_Data_An_Cour!$L:$Q,6,0)</f>
        <v>0</v>
      </c>
      <c r="H853" s="188"/>
    </row>
    <row r="854" spans="1:29" ht="15" customHeight="1">
      <c r="A854" s="167"/>
      <c r="B854" s="166"/>
      <c r="C854" s="955"/>
      <c r="D854" s="955"/>
      <c r="E854" s="1007"/>
      <c r="F854" s="1008"/>
      <c r="G854" s="1007">
        <f>+VLOOKUP(Data_Validation!$A854,BV_Data_An_Cour!$L:$Q,6,0)</f>
        <v>0</v>
      </c>
      <c r="H854" s="188"/>
    </row>
    <row r="855" spans="1:29" ht="15" customHeight="1">
      <c r="A855" s="168"/>
      <c r="B855" s="169"/>
      <c r="C855" s="955"/>
      <c r="D855" s="955"/>
      <c r="E855" s="1010"/>
      <c r="F855" s="1010"/>
      <c r="G855" s="1010">
        <f>+VLOOKUP(Data_Validation!$A855,BV_Data_An_Cour!$L:$Q,6,0)</f>
        <v>0</v>
      </c>
    </row>
    <row r="856" spans="1:29" ht="15" customHeight="1">
      <c r="A856" s="167"/>
      <c r="B856" s="166"/>
      <c r="C856" s="955"/>
      <c r="D856" s="955"/>
      <c r="E856" s="1007"/>
      <c r="F856" s="1008"/>
      <c r="G856" s="1007">
        <f>+VLOOKUP(Data_Validation!$A856,BV_Data_An_Cour!$L:$Q,6,0)</f>
        <v>0</v>
      </c>
    </row>
    <row r="857" spans="1:29" ht="15" customHeight="1">
      <c r="A857" s="168"/>
      <c r="B857" s="169"/>
      <c r="C857" s="955"/>
      <c r="D857" s="955"/>
      <c r="E857" s="1010"/>
      <c r="F857" s="1010"/>
      <c r="G857" s="1010">
        <f>+VLOOKUP(Data_Validation!$A857,BV_Data_An_Cour!$L:$Q,6,0)</f>
        <v>0</v>
      </c>
    </row>
    <row r="858" spans="1:29" ht="15" customHeight="1">
      <c r="A858" s="167"/>
      <c r="B858" s="166"/>
      <c r="C858" s="955"/>
      <c r="D858" s="955"/>
      <c r="E858" s="1007"/>
      <c r="F858" s="1008"/>
      <c r="G858" s="1007">
        <f>+VLOOKUP(Data_Validation!$A858,BV_Data_An_Cour!$L:$Q,6,0)</f>
        <v>0</v>
      </c>
    </row>
    <row r="859" spans="1:29" ht="15" customHeight="1">
      <c r="A859" s="167"/>
      <c r="B859" s="166"/>
      <c r="C859" s="955"/>
      <c r="D859" s="955"/>
      <c r="E859" s="1007"/>
      <c r="F859" s="1008"/>
      <c r="G859" s="1007">
        <f>+VLOOKUP(Data_Validation!$A859,BV_Data_An_Cour!$L:$Q,6,0)</f>
        <v>0</v>
      </c>
    </row>
    <row r="860" spans="1:29" ht="15" customHeight="1">
      <c r="A860" s="168"/>
      <c r="B860" s="169"/>
      <c r="C860" s="955"/>
      <c r="D860" s="955"/>
      <c r="E860" s="1010"/>
      <c r="F860" s="1010"/>
      <c r="G860" s="1010">
        <f>+VLOOKUP(Data_Validation!$A860,BV_Data_An_Cour!$L:$Q,6,0)</f>
        <v>0</v>
      </c>
    </row>
    <row r="861" spans="1:29" ht="15" customHeight="1">
      <c r="A861" s="166"/>
      <c r="B861" s="166"/>
      <c r="C861" s="955"/>
      <c r="D861" s="955"/>
      <c r="E861" s="1007"/>
      <c r="F861" s="1008"/>
      <c r="G861" s="1007">
        <f>+VLOOKUP(Data_Validation!$A861,BV_Data_An_Cour!$L:$Q,6,0)</f>
        <v>0</v>
      </c>
    </row>
    <row r="862" spans="1:29" ht="15" customHeight="1">
      <c r="A862" s="168"/>
      <c r="B862" s="169"/>
      <c r="C862" s="955"/>
      <c r="D862" s="955"/>
      <c r="E862" s="1010"/>
      <c r="F862" s="1010"/>
      <c r="G862" s="1010">
        <f>+VLOOKUP(Data_Validation!$A862,BV_Data_An_Cour!$L:$Q,6,0)</f>
        <v>0</v>
      </c>
    </row>
    <row r="863" spans="1:29" ht="15" customHeight="1">
      <c r="A863" s="167"/>
      <c r="B863" s="166"/>
      <c r="C863" s="955"/>
      <c r="D863" s="955"/>
      <c r="E863" s="1007"/>
      <c r="F863" s="1008"/>
      <c r="G863" s="1007">
        <f>+VLOOKUP(Data_Validation!$A863,BV_Data_An_Cour!$L:$Q,6,0)</f>
        <v>0</v>
      </c>
      <c r="I863" s="2"/>
      <c r="J863" s="2"/>
      <c r="L863" s="2"/>
      <c r="M863" s="2"/>
      <c r="N863" s="2"/>
      <c r="O863" s="2"/>
      <c r="P863" s="2"/>
      <c r="Q863" s="2"/>
      <c r="R863" s="2"/>
      <c r="S863" s="2"/>
      <c r="T863" s="2"/>
      <c r="U863" s="2"/>
      <c r="V863" s="2"/>
      <c r="W863" s="2"/>
      <c r="X863" s="2"/>
      <c r="Y863" s="2"/>
      <c r="Z863" s="2"/>
      <c r="AA863" s="2"/>
      <c r="AB863" s="2"/>
      <c r="AC863" s="2"/>
    </row>
    <row r="864" spans="1:29" ht="15" customHeight="1">
      <c r="A864" s="168"/>
      <c r="B864" s="169"/>
      <c r="C864" s="955"/>
      <c r="D864" s="955"/>
      <c r="E864" s="1010"/>
      <c r="F864" s="1010"/>
      <c r="G864" s="1010">
        <f>+VLOOKUP(Data_Validation!$A864,BV_Data_An_Cour!$L:$Q,6,0)</f>
        <v>0</v>
      </c>
    </row>
    <row r="865" spans="1:29" ht="15" customHeight="1">
      <c r="A865" s="167"/>
      <c r="B865" s="166"/>
      <c r="C865" s="955"/>
      <c r="D865" s="955"/>
      <c r="E865" s="1007"/>
      <c r="F865" s="1008"/>
      <c r="G865" s="1007">
        <f>+VLOOKUP(Data_Validation!$A865,BV_Data_An_Cour!$L:$Q,6,0)</f>
        <v>0</v>
      </c>
    </row>
    <row r="866" spans="1:29" ht="15" customHeight="1">
      <c r="A866" s="168"/>
      <c r="B866" s="169"/>
      <c r="C866" s="955"/>
      <c r="D866" s="955"/>
      <c r="E866" s="1010"/>
      <c r="F866" s="1010"/>
      <c r="G866" s="1010">
        <f>+VLOOKUP(Data_Validation!$A866,BV_Data_An_Cour!$L:$Q,6,0)</f>
        <v>0</v>
      </c>
    </row>
    <row r="867" spans="1:29" ht="15" customHeight="1">
      <c r="A867" s="167"/>
      <c r="B867" s="166"/>
      <c r="C867" s="955"/>
      <c r="D867" s="955"/>
      <c r="E867" s="1007"/>
      <c r="F867" s="1008"/>
      <c r="G867" s="1007">
        <f>+VLOOKUP(Data_Validation!$A867,BV_Data_An_Cour!$L:$Q,6,0)</f>
        <v>0</v>
      </c>
    </row>
    <row r="868" spans="1:29" ht="15" customHeight="1">
      <c r="A868" s="168"/>
      <c r="B868" s="169"/>
      <c r="C868" s="955"/>
      <c r="D868" s="955"/>
      <c r="E868" s="1010"/>
      <c r="F868" s="1010"/>
      <c r="G868" s="1010">
        <f>+VLOOKUP(Data_Validation!$A868,BV_Data_An_Cour!$L:$Q,6,0)</f>
        <v>0</v>
      </c>
    </row>
    <row r="869" spans="1:29" ht="15" customHeight="1">
      <c r="A869" s="167"/>
      <c r="B869" s="166"/>
      <c r="C869" s="955"/>
      <c r="D869" s="955"/>
      <c r="E869" s="1007"/>
      <c r="F869" s="1008"/>
      <c r="G869" s="1007">
        <f>+VLOOKUP(Data_Validation!$A869,BV_Data_An_Cour!$L:$Q,6,0)</f>
        <v>0</v>
      </c>
      <c r="H869" s="538"/>
    </row>
    <row r="870" spans="1:29" ht="15" customHeight="1">
      <c r="A870" s="168"/>
      <c r="B870" s="169"/>
      <c r="C870" s="955"/>
      <c r="D870" s="955"/>
      <c r="E870" s="1010"/>
      <c r="F870" s="1010"/>
      <c r="G870" s="1010">
        <f>+VLOOKUP(Data_Validation!$A870,BV_Data_An_Cour!$L:$Q,6,0)</f>
        <v>0</v>
      </c>
      <c r="H870" s="163"/>
    </row>
    <row r="871" spans="1:29" ht="15" customHeight="1">
      <c r="A871" s="166"/>
      <c r="B871" s="166"/>
      <c r="C871" s="955"/>
      <c r="D871" s="955"/>
      <c r="E871" s="1007"/>
      <c r="F871" s="1008"/>
      <c r="G871" s="1007">
        <f>+VLOOKUP(Data_Validation!$A871,BV_Data_An_Cour!$L:$Q,6,0)</f>
        <v>0</v>
      </c>
      <c r="H871" s="163"/>
    </row>
    <row r="872" spans="1:29" ht="15" customHeight="1">
      <c r="A872" s="166"/>
      <c r="B872" s="166"/>
      <c r="C872" s="955"/>
      <c r="D872" s="955"/>
      <c r="E872" s="1007"/>
      <c r="F872" s="1008"/>
      <c r="G872" s="1007">
        <f>+VLOOKUP(Data_Validation!$A872,BV_Data_An_Cour!$L:$Q,6,0)</f>
        <v>0</v>
      </c>
      <c r="H872" s="163"/>
    </row>
    <row r="873" spans="1:29" ht="15" customHeight="1">
      <c r="A873" s="166"/>
      <c r="B873" s="166"/>
      <c r="C873" s="955"/>
      <c r="D873" s="955"/>
      <c r="E873" s="1007"/>
      <c r="F873" s="1008"/>
      <c r="G873" s="1007">
        <f>+VLOOKUP(Data_Validation!$A873,BV_Data_An_Cour!$L:$Q,6,0)</f>
        <v>0</v>
      </c>
      <c r="H873" s="163"/>
    </row>
    <row r="874" spans="1:29" ht="15" customHeight="1">
      <c r="A874" s="166"/>
      <c r="B874" s="166"/>
      <c r="C874" s="955"/>
      <c r="D874" s="955"/>
      <c r="E874" s="1007"/>
      <c r="F874" s="1008"/>
      <c r="G874" s="1007">
        <f>+VLOOKUP(Data_Validation!$A874,BV_Data_An_Cour!$L:$Q,6,0)</f>
        <v>0</v>
      </c>
      <c r="H874" s="165"/>
      <c r="I874" s="2"/>
      <c r="J874" s="2"/>
      <c r="L874" s="2"/>
      <c r="M874" s="2"/>
      <c r="N874" s="2"/>
      <c r="O874" s="2"/>
      <c r="P874" s="2"/>
      <c r="Q874" s="2"/>
      <c r="R874" s="2"/>
      <c r="S874" s="2"/>
      <c r="T874" s="2"/>
      <c r="U874" s="2"/>
      <c r="V874" s="2"/>
      <c r="W874" s="2"/>
      <c r="X874" s="2"/>
      <c r="Y874" s="2"/>
      <c r="Z874" s="2"/>
      <c r="AA874" s="2"/>
      <c r="AB874" s="2"/>
      <c r="AC874" s="2"/>
    </row>
    <row r="875" spans="1:29" ht="15" customHeight="1">
      <c r="A875" s="166"/>
      <c r="B875" s="166"/>
      <c r="C875" s="955"/>
      <c r="D875" s="955"/>
      <c r="E875" s="1007"/>
      <c r="F875" s="1008"/>
      <c r="G875" s="1007">
        <f>+VLOOKUP(Data_Validation!$A875,BV_Data_An_Cour!$L:$Q,6,0)</f>
        <v>0</v>
      </c>
      <c r="H875" s="163"/>
    </row>
    <row r="876" spans="1:29" ht="15" customHeight="1">
      <c r="A876" s="166"/>
      <c r="B876" s="166"/>
      <c r="C876" s="955"/>
      <c r="D876" s="955"/>
      <c r="E876" s="1007"/>
      <c r="F876" s="1008"/>
      <c r="G876" s="1007">
        <f>+VLOOKUP(Data_Validation!$A876,BV_Data_An_Cour!$L:$Q,6,0)</f>
        <v>0</v>
      </c>
      <c r="H876" s="163"/>
    </row>
    <row r="877" spans="1:29" ht="15" customHeight="1">
      <c r="A877" s="167"/>
      <c r="B877" s="171"/>
      <c r="C877" s="955"/>
      <c r="D877" s="955"/>
      <c r="E877" s="1007"/>
      <c r="F877" s="1008"/>
      <c r="G877" s="1007"/>
      <c r="H877" s="163"/>
    </row>
    <row r="878" spans="1:29" ht="15" customHeight="1">
      <c r="A878" s="167"/>
      <c r="B878" s="171"/>
      <c r="C878" s="955"/>
      <c r="D878" s="955"/>
      <c r="E878" s="1007"/>
      <c r="F878" s="1008"/>
      <c r="G878" s="1007"/>
      <c r="H878" s="163"/>
    </row>
    <row r="879" spans="1:29" ht="15" customHeight="1">
      <c r="A879" s="167"/>
      <c r="B879" s="171"/>
      <c r="C879" s="955"/>
      <c r="D879" s="955"/>
      <c r="E879" s="1007"/>
      <c r="F879" s="1008"/>
      <c r="G879" s="1007"/>
      <c r="H879" s="163"/>
    </row>
    <row r="880" spans="1:29" ht="15" customHeight="1">
      <c r="A880" s="167"/>
      <c r="B880" s="171"/>
      <c r="C880" s="955"/>
      <c r="D880" s="955"/>
      <c r="E880" s="1007"/>
      <c r="F880" s="1008"/>
      <c r="G880" s="1007"/>
      <c r="H880" s="165"/>
      <c r="I880" s="2"/>
      <c r="J880" s="2"/>
      <c r="L880" s="2"/>
      <c r="M880" s="2"/>
      <c r="N880" s="2"/>
      <c r="O880" s="2"/>
      <c r="P880" s="2"/>
      <c r="Q880" s="2"/>
      <c r="R880" s="2"/>
      <c r="S880" s="2"/>
      <c r="T880" s="2"/>
      <c r="U880" s="2"/>
      <c r="V880" s="2"/>
      <c r="W880" s="2"/>
      <c r="X880" s="2"/>
      <c r="Y880" s="2"/>
      <c r="Z880" s="2"/>
      <c r="AA880" s="2"/>
      <c r="AB880" s="2"/>
      <c r="AC880" s="2"/>
    </row>
    <row r="881" spans="1:29" ht="15" customHeight="1">
      <c r="A881" s="167"/>
      <c r="B881" s="171"/>
      <c r="C881" s="955"/>
      <c r="D881" s="955"/>
      <c r="E881" s="1007"/>
      <c r="F881" s="1008"/>
      <c r="G881" s="1007"/>
      <c r="H881" s="163"/>
    </row>
    <row r="882" spans="1:29" ht="15" customHeight="1">
      <c r="A882" s="167"/>
      <c r="B882" s="171"/>
      <c r="C882" s="955"/>
      <c r="D882" s="955"/>
      <c r="E882" s="1007"/>
      <c r="F882" s="1008"/>
      <c r="G882" s="1007"/>
      <c r="H882" s="163"/>
    </row>
    <row r="883" spans="1:29" ht="15" customHeight="1">
      <c r="A883" s="167"/>
      <c r="B883" s="171"/>
      <c r="C883" s="955"/>
      <c r="D883" s="955"/>
      <c r="E883" s="1007"/>
      <c r="F883" s="1008"/>
      <c r="G883" s="1007"/>
      <c r="H883" s="165"/>
      <c r="I883" s="2"/>
      <c r="J883" s="2"/>
      <c r="L883" s="2"/>
      <c r="M883" s="2"/>
      <c r="N883" s="2"/>
      <c r="O883" s="2"/>
      <c r="P883" s="2"/>
      <c r="Q883" s="2"/>
      <c r="R883" s="2"/>
      <c r="S883" s="2"/>
      <c r="T883" s="2"/>
      <c r="U883" s="2"/>
      <c r="V883" s="2"/>
      <c r="W883" s="2"/>
      <c r="X883" s="2"/>
      <c r="Y883" s="2"/>
      <c r="Z883" s="2"/>
      <c r="AA883" s="2"/>
      <c r="AB883" s="2"/>
      <c r="AC883" s="2"/>
    </row>
    <row r="884" spans="1:29" ht="15" customHeight="1">
      <c r="A884" s="1027"/>
      <c r="B884" s="1020"/>
      <c r="C884" s="1021"/>
      <c r="D884" s="955"/>
      <c r="E884" s="1007"/>
      <c r="F884" s="1008"/>
      <c r="G884" s="1007"/>
      <c r="H884" s="163"/>
    </row>
    <row r="885" spans="1:29" ht="15" customHeight="1">
      <c r="A885" s="167"/>
      <c r="B885" s="171"/>
      <c r="C885" s="955"/>
      <c r="D885" s="955"/>
      <c r="E885" s="1007"/>
      <c r="F885" s="1008"/>
      <c r="G885" s="1007"/>
      <c r="H885" s="163"/>
    </row>
    <row r="886" spans="1:29" ht="15" customHeight="1">
      <c r="A886" s="167"/>
      <c r="B886" s="171"/>
      <c r="C886" s="955"/>
      <c r="D886" s="955"/>
      <c r="E886" s="1007"/>
      <c r="F886" s="1008"/>
      <c r="G886" s="1007"/>
      <c r="H886" s="163"/>
    </row>
    <row r="887" spans="1:29" ht="15" customHeight="1">
      <c r="A887" s="167"/>
      <c r="B887" s="171"/>
      <c r="C887" s="955"/>
      <c r="D887" s="955"/>
      <c r="E887" s="1007"/>
      <c r="F887" s="1008"/>
      <c r="G887" s="1007"/>
      <c r="H887" s="163"/>
    </row>
    <row r="888" spans="1:29" ht="15" customHeight="1">
      <c r="A888" s="167"/>
      <c r="B888" s="171"/>
      <c r="C888" s="955"/>
      <c r="D888" s="955"/>
      <c r="E888" s="1007"/>
      <c r="F888" s="1008"/>
      <c r="G888" s="1007"/>
      <c r="H888" s="163"/>
    </row>
    <row r="889" spans="1:29" ht="15" customHeight="1">
      <c r="A889" s="167"/>
      <c r="B889" s="171"/>
      <c r="C889" s="955"/>
      <c r="D889" s="955"/>
      <c r="E889" s="1007"/>
      <c r="F889" s="1008"/>
      <c r="G889" s="1007"/>
      <c r="H889" s="163"/>
    </row>
    <row r="890" spans="1:29" ht="15" customHeight="1">
      <c r="A890" s="167"/>
      <c r="B890" s="171"/>
      <c r="C890" s="955"/>
      <c r="D890" s="955"/>
      <c r="E890" s="1007"/>
      <c r="F890" s="1008"/>
      <c r="G890" s="1007"/>
      <c r="H890" s="163"/>
    </row>
    <row r="891" spans="1:29" ht="15" customHeight="1">
      <c r="A891" s="167"/>
      <c r="B891" s="171"/>
      <c r="C891" s="955"/>
      <c r="D891" s="955"/>
      <c r="E891" s="1007"/>
      <c r="F891" s="1008"/>
      <c r="G891" s="1007"/>
      <c r="H891" s="163"/>
    </row>
    <row r="892" spans="1:29" ht="15" customHeight="1">
      <c r="A892" s="167"/>
      <c r="B892" s="171"/>
      <c r="C892" s="955"/>
      <c r="D892" s="955"/>
      <c r="E892" s="1007"/>
      <c r="F892" s="1008"/>
      <c r="G892" s="1007"/>
      <c r="H892" s="163"/>
    </row>
    <row r="893" spans="1:29" ht="15" customHeight="1">
      <c r="A893" s="167"/>
      <c r="B893" s="171"/>
      <c r="C893" s="955"/>
      <c r="D893" s="955"/>
      <c r="E893" s="1007"/>
      <c r="F893" s="1008"/>
      <c r="G893" s="1007"/>
      <c r="H893" s="163"/>
    </row>
    <row r="894" spans="1:29" ht="15" customHeight="1">
      <c r="A894" s="167"/>
      <c r="B894" s="171"/>
      <c r="C894" s="955"/>
      <c r="D894" s="955"/>
      <c r="E894" s="1007"/>
      <c r="F894" s="1008"/>
      <c r="G894" s="1007"/>
      <c r="H894" s="163"/>
    </row>
    <row r="895" spans="1:29" ht="15" customHeight="1">
      <c r="A895" s="167"/>
      <c r="B895" s="171"/>
      <c r="C895" s="955"/>
      <c r="D895" s="955"/>
      <c r="E895" s="1007"/>
      <c r="F895" s="1008"/>
      <c r="G895" s="1007"/>
      <c r="H895" s="163"/>
    </row>
    <row r="896" spans="1:29" ht="15" customHeight="1">
      <c r="A896" s="963"/>
      <c r="B896" s="171"/>
      <c r="C896" s="955"/>
      <c r="D896" s="955"/>
      <c r="E896" s="1007"/>
      <c r="F896" s="1008"/>
      <c r="G896" s="1007"/>
      <c r="H896" s="163"/>
    </row>
    <row r="897" spans="1:8" ht="15" customHeight="1">
      <c r="A897" s="963"/>
      <c r="B897" s="171"/>
      <c r="C897" s="955"/>
      <c r="D897" s="955"/>
      <c r="E897" s="1007"/>
      <c r="F897" s="1008"/>
      <c r="G897" s="1007"/>
      <c r="H897" s="163"/>
    </row>
    <row r="898" spans="1:8" ht="15" customHeight="1">
      <c r="A898" s="167"/>
      <c r="B898" s="171"/>
      <c r="C898" s="955"/>
      <c r="D898" s="955"/>
      <c r="E898" s="1007"/>
      <c r="F898" s="1008"/>
      <c r="G898" s="1007"/>
      <c r="H898" s="163"/>
    </row>
    <row r="899" spans="1:8" ht="15" customHeight="1">
      <c r="A899" s="167"/>
      <c r="B899" s="171"/>
      <c r="C899" s="955"/>
      <c r="D899" s="955"/>
      <c r="E899" s="1007"/>
      <c r="F899" s="1008"/>
      <c r="G899" s="1007"/>
      <c r="H899" s="163"/>
    </row>
    <row r="900" spans="1:8" ht="15" customHeight="1">
      <c r="A900" s="167"/>
      <c r="B900" s="171"/>
      <c r="C900" s="955"/>
      <c r="D900" s="955"/>
      <c r="E900" s="1007"/>
      <c r="F900" s="1008"/>
      <c r="G900" s="1007"/>
      <c r="H900" s="163"/>
    </row>
    <row r="901" spans="1:8" ht="15" customHeight="1">
      <c r="A901" s="964"/>
      <c r="B901" s="1030"/>
      <c r="C901" s="955"/>
      <c r="D901" s="955"/>
      <c r="E901" s="1007"/>
      <c r="F901" s="1008"/>
      <c r="G901" s="1007"/>
      <c r="H901" s="163"/>
    </row>
    <row r="902" spans="1:8" ht="15" customHeight="1">
      <c r="A902" s="167"/>
      <c r="B902" s="171"/>
      <c r="C902" s="955"/>
      <c r="D902" s="955"/>
      <c r="E902" s="1007"/>
      <c r="F902" s="1008"/>
      <c r="G902" s="1007"/>
      <c r="H902" s="163"/>
    </row>
    <row r="903" spans="1:8" ht="15" customHeight="1">
      <c r="A903" s="167"/>
      <c r="B903" s="171"/>
      <c r="C903" s="955"/>
      <c r="D903" s="955"/>
      <c r="E903" s="1007"/>
      <c r="F903" s="1008"/>
      <c r="G903" s="1007"/>
      <c r="H903" s="163"/>
    </row>
    <row r="904" spans="1:8" ht="15" customHeight="1">
      <c r="A904" s="167"/>
      <c r="B904" s="171"/>
      <c r="C904" s="955"/>
      <c r="D904" s="955"/>
      <c r="E904" s="1007"/>
      <c r="F904" s="1008"/>
      <c r="G904" s="1007"/>
      <c r="H904" s="163"/>
    </row>
    <row r="905" spans="1:8" ht="15" customHeight="1">
      <c r="A905" s="167"/>
      <c r="B905" s="171"/>
      <c r="C905" s="955"/>
      <c r="D905" s="955"/>
      <c r="E905" s="1007"/>
      <c r="F905" s="1008"/>
      <c r="G905" s="1007"/>
      <c r="H905" s="163"/>
    </row>
    <row r="906" spans="1:8" ht="15" customHeight="1">
      <c r="A906" s="167"/>
      <c r="B906" s="171"/>
      <c r="C906" s="955"/>
      <c r="D906" s="955"/>
      <c r="E906" s="1007"/>
      <c r="F906" s="1008"/>
      <c r="G906" s="1007"/>
      <c r="H906" s="163"/>
    </row>
    <row r="907" spans="1:8" ht="15" customHeight="1">
      <c r="A907" s="167"/>
      <c r="B907" s="171"/>
      <c r="C907" s="955"/>
      <c r="D907" s="955"/>
      <c r="E907" s="1007"/>
      <c r="F907" s="1008"/>
      <c r="G907" s="1007"/>
      <c r="H907" s="163"/>
    </row>
    <row r="908" spans="1:8" ht="15" customHeight="1">
      <c r="A908" s="167"/>
      <c r="B908" s="171"/>
      <c r="C908" s="955"/>
      <c r="D908" s="955"/>
      <c r="E908" s="1007"/>
      <c r="F908" s="1008"/>
      <c r="G908" s="1007"/>
      <c r="H908" s="163"/>
    </row>
    <row r="909" spans="1:8" ht="15" customHeight="1">
      <c r="A909" s="167"/>
      <c r="B909" s="171"/>
      <c r="C909" s="955"/>
      <c r="D909" s="955"/>
      <c r="E909" s="1007"/>
      <c r="F909" s="1008"/>
      <c r="G909" s="1007"/>
      <c r="H909" s="163"/>
    </row>
    <row r="910" spans="1:8" ht="15" customHeight="1">
      <c r="A910" s="167"/>
      <c r="B910" s="171"/>
      <c r="C910" s="955"/>
      <c r="D910" s="955"/>
      <c r="E910" s="1007"/>
      <c r="F910" s="1008"/>
      <c r="G910" s="1007"/>
      <c r="H910" s="163"/>
    </row>
    <row r="911" spans="1:8" ht="15" customHeight="1">
      <c r="A911" s="167"/>
      <c r="B911" s="955"/>
      <c r="C911" s="955"/>
      <c r="D911" s="955"/>
      <c r="E911" s="1007"/>
      <c r="F911" s="1008"/>
      <c r="G911" s="1007"/>
      <c r="H911" s="163"/>
    </row>
    <row r="912" spans="1:8" ht="15" customHeight="1">
      <c r="A912" s="167"/>
      <c r="B912" s="171"/>
      <c r="C912" s="955"/>
      <c r="D912" s="955"/>
      <c r="E912" s="1007"/>
      <c r="F912" s="1008"/>
      <c r="G912" s="1007"/>
      <c r="H912" s="163"/>
    </row>
    <row r="913" spans="1:11" ht="15" customHeight="1">
      <c r="A913" s="167"/>
      <c r="B913" s="171"/>
      <c r="C913" s="955"/>
      <c r="D913" s="955"/>
      <c r="E913" s="1007"/>
      <c r="F913" s="1008"/>
      <c r="G913" s="1007"/>
      <c r="H913" s="163"/>
    </row>
    <row r="914" spans="1:11" ht="15" customHeight="1">
      <c r="A914" s="167"/>
      <c r="B914" s="171"/>
      <c r="C914" s="955"/>
      <c r="D914" s="955"/>
      <c r="E914" s="1007"/>
      <c r="F914" s="1008"/>
      <c r="G914" s="1007"/>
      <c r="H914" s="163"/>
      <c r="K914" s="2"/>
    </row>
    <row r="915" spans="1:11" ht="15" customHeight="1">
      <c r="A915" s="167"/>
      <c r="B915" s="171"/>
      <c r="C915" s="955"/>
      <c r="D915" s="955"/>
      <c r="E915" s="1007"/>
      <c r="F915" s="1008"/>
      <c r="G915" s="1007"/>
      <c r="H915" s="163"/>
    </row>
    <row r="916" spans="1:11" ht="15" customHeight="1">
      <c r="A916" s="167"/>
      <c r="B916" s="171"/>
      <c r="C916" s="955"/>
      <c r="D916" s="955"/>
      <c r="E916" s="1007"/>
      <c r="F916" s="1008"/>
      <c r="G916" s="1007"/>
      <c r="H916" s="163"/>
    </row>
    <row r="917" spans="1:11" ht="15" customHeight="1">
      <c r="A917" s="167"/>
      <c r="B917" s="171"/>
      <c r="C917" s="955"/>
      <c r="D917" s="955"/>
      <c r="E917" s="1007"/>
      <c r="F917" s="1008"/>
      <c r="G917" s="1007"/>
      <c r="H917" s="163"/>
    </row>
    <row r="918" spans="1:11" ht="15" customHeight="1">
      <c r="A918" s="167"/>
      <c r="B918" s="171"/>
      <c r="C918" s="955"/>
      <c r="D918" s="955"/>
      <c r="E918" s="1007"/>
      <c r="F918" s="1008"/>
      <c r="G918" s="1007"/>
      <c r="H918" s="163"/>
    </row>
    <row r="919" spans="1:11" ht="15" customHeight="1">
      <c r="A919" s="167"/>
      <c r="B919" s="171"/>
      <c r="C919" s="955"/>
      <c r="D919" s="955"/>
      <c r="E919" s="1007"/>
      <c r="F919" s="1008"/>
      <c r="G919" s="1007"/>
      <c r="H919" s="163"/>
    </row>
    <row r="920" spans="1:11" ht="15" customHeight="1">
      <c r="A920" s="167"/>
      <c r="B920" s="171"/>
      <c r="C920" s="955"/>
      <c r="D920" s="955"/>
      <c r="E920" s="1007"/>
      <c r="F920" s="1008"/>
      <c r="G920" s="1007"/>
      <c r="H920" s="163"/>
    </row>
    <row r="921" spans="1:11" ht="15" customHeight="1">
      <c r="A921" s="167"/>
      <c r="B921" s="171"/>
      <c r="C921" s="955"/>
      <c r="D921" s="955"/>
      <c r="E921" s="1007"/>
      <c r="F921" s="1008"/>
      <c r="G921" s="1007"/>
      <c r="H921" s="163"/>
    </row>
    <row r="922" spans="1:11" ht="15" customHeight="1">
      <c r="A922" s="167"/>
      <c r="B922" s="171"/>
      <c r="C922" s="955"/>
      <c r="D922" s="955"/>
      <c r="E922" s="1007"/>
      <c r="F922" s="1008"/>
      <c r="G922" s="1007"/>
      <c r="H922" s="163"/>
    </row>
    <row r="923" spans="1:11" ht="15" customHeight="1">
      <c r="A923" s="167"/>
      <c r="B923" s="171"/>
      <c r="C923" s="955"/>
      <c r="D923" s="955"/>
      <c r="E923" s="1007"/>
      <c r="F923" s="1008"/>
      <c r="G923" s="1007"/>
      <c r="H923" s="163"/>
    </row>
    <row r="924" spans="1:11" ht="15" customHeight="1">
      <c r="A924" s="167"/>
      <c r="B924" s="171"/>
      <c r="C924" s="955"/>
      <c r="D924" s="955"/>
      <c r="E924" s="1007"/>
      <c r="F924" s="1008"/>
      <c r="G924" s="1007"/>
      <c r="H924" s="163"/>
    </row>
    <row r="925" spans="1:11" ht="15" customHeight="1">
      <c r="A925" s="167"/>
      <c r="B925" s="171"/>
      <c r="C925" s="955"/>
      <c r="D925" s="955"/>
      <c r="E925" s="1007"/>
      <c r="F925" s="1008"/>
      <c r="G925" s="1007"/>
      <c r="H925" s="163"/>
      <c r="K925" s="2"/>
    </row>
    <row r="926" spans="1:11" ht="15" customHeight="1">
      <c r="A926" s="167"/>
      <c r="B926" s="171"/>
      <c r="C926" s="955"/>
      <c r="D926" s="955"/>
      <c r="E926" s="1007"/>
      <c r="F926" s="1008"/>
      <c r="G926" s="1007"/>
      <c r="H926" s="163"/>
    </row>
    <row r="927" spans="1:11" ht="15" customHeight="1">
      <c r="A927" s="167"/>
      <c r="B927" s="171"/>
      <c r="C927" s="955"/>
      <c r="D927" s="955"/>
      <c r="E927" s="1007"/>
      <c r="F927" s="1008"/>
      <c r="G927" s="1007"/>
      <c r="H927" s="163"/>
    </row>
    <row r="928" spans="1:11" ht="15" customHeight="1">
      <c r="A928" s="167"/>
      <c r="B928" s="171"/>
      <c r="C928" s="955"/>
      <c r="D928" s="955"/>
      <c r="E928" s="1007"/>
      <c r="F928" s="1008"/>
      <c r="G928" s="1007"/>
      <c r="H928" s="163"/>
    </row>
    <row r="929" spans="1:29" ht="15" customHeight="1">
      <c r="A929" s="167"/>
      <c r="B929" s="171"/>
      <c r="C929" s="955"/>
      <c r="D929" s="955"/>
      <c r="E929" s="1007"/>
      <c r="F929" s="1008"/>
      <c r="G929" s="1007"/>
      <c r="H929" s="163"/>
    </row>
    <row r="930" spans="1:29" ht="15" customHeight="1">
      <c r="A930" s="167"/>
      <c r="B930" s="171"/>
      <c r="C930" s="955"/>
      <c r="D930" s="955"/>
      <c r="E930" s="1007"/>
      <c r="F930" s="1008"/>
      <c r="G930" s="1007"/>
      <c r="H930" s="163"/>
    </row>
    <row r="931" spans="1:29" ht="15" customHeight="1">
      <c r="A931" s="167"/>
      <c r="B931" s="171"/>
      <c r="C931" s="955"/>
      <c r="D931" s="955"/>
      <c r="E931" s="1007"/>
      <c r="F931" s="1008"/>
      <c r="G931" s="1007"/>
      <c r="H931" s="163"/>
      <c r="K931" s="2"/>
    </row>
    <row r="932" spans="1:29" ht="15" customHeight="1">
      <c r="A932" s="167"/>
      <c r="B932" s="171"/>
      <c r="C932" s="955"/>
      <c r="D932" s="955"/>
      <c r="E932" s="1007"/>
      <c r="F932" s="1008"/>
      <c r="G932" s="1007"/>
      <c r="H932" s="163"/>
    </row>
    <row r="933" spans="1:29" ht="15" customHeight="1">
      <c r="A933" s="167"/>
      <c r="B933" s="171"/>
      <c r="C933" s="955"/>
      <c r="D933" s="955"/>
      <c r="E933" s="1007"/>
      <c r="F933" s="1008"/>
      <c r="G933" s="1007"/>
      <c r="H933" s="163"/>
    </row>
    <row r="934" spans="1:29" ht="15" customHeight="1">
      <c r="A934" s="167"/>
      <c r="B934" s="171"/>
      <c r="C934" s="955"/>
      <c r="D934" s="955"/>
      <c r="E934" s="1007"/>
      <c r="F934" s="1008"/>
      <c r="G934" s="1007"/>
      <c r="H934" s="163"/>
      <c r="K934" s="2"/>
    </row>
    <row r="935" spans="1:29" ht="15" customHeight="1">
      <c r="A935" s="167"/>
      <c r="B935" s="171"/>
      <c r="C935" s="955"/>
      <c r="D935" s="955"/>
      <c r="E935" s="1007"/>
      <c r="F935" s="1008"/>
      <c r="G935" s="1007"/>
      <c r="H935" s="163"/>
    </row>
    <row r="936" spans="1:29" ht="15" customHeight="1">
      <c r="A936" s="167"/>
      <c r="B936" s="171"/>
      <c r="C936" s="955"/>
      <c r="D936" s="955"/>
      <c r="E936" s="1007"/>
      <c r="F936" s="1008"/>
      <c r="G936" s="1007"/>
      <c r="H936" s="163"/>
    </row>
    <row r="937" spans="1:29" ht="15" customHeight="1">
      <c r="A937" s="167"/>
      <c r="B937" s="171"/>
      <c r="C937" s="955"/>
      <c r="D937" s="955"/>
      <c r="E937" s="1007"/>
      <c r="F937" s="1008"/>
      <c r="G937" s="1007"/>
      <c r="H937" s="163"/>
    </row>
    <row r="938" spans="1:29" ht="15" customHeight="1">
      <c r="A938" s="1031"/>
      <c r="B938" s="172"/>
      <c r="C938" s="955"/>
      <c r="D938" s="955"/>
      <c r="E938" s="1007"/>
      <c r="F938" s="1008"/>
      <c r="G938" s="1007"/>
      <c r="H938" s="163"/>
    </row>
    <row r="939" spans="1:29" ht="15" customHeight="1">
      <c r="A939" s="167"/>
      <c r="B939" s="171"/>
      <c r="C939" s="955"/>
      <c r="D939" s="955"/>
      <c r="E939" s="1007"/>
      <c r="F939" s="1008"/>
      <c r="G939" s="1007"/>
      <c r="H939" s="163"/>
    </row>
    <row r="940" spans="1:29" ht="15" customHeight="1">
      <c r="A940" s="167"/>
      <c r="B940" s="171"/>
      <c r="C940" s="955"/>
      <c r="D940" s="955"/>
      <c r="E940" s="1007"/>
      <c r="F940" s="1008"/>
      <c r="G940" s="1007"/>
      <c r="H940" s="163"/>
    </row>
    <row r="941" spans="1:29" ht="15" customHeight="1">
      <c r="A941" s="167"/>
      <c r="B941" s="171"/>
      <c r="C941" s="955"/>
      <c r="D941" s="955"/>
      <c r="E941" s="1007"/>
      <c r="F941" s="1008"/>
      <c r="G941" s="1007"/>
      <c r="H941" s="163"/>
    </row>
    <row r="942" spans="1:29" ht="15" customHeight="1">
      <c r="A942" s="167"/>
      <c r="B942" s="171"/>
      <c r="C942" s="955"/>
      <c r="D942" s="955"/>
      <c r="E942" s="1007"/>
      <c r="F942" s="1008"/>
      <c r="G942" s="1007"/>
      <c r="H942" s="163"/>
    </row>
    <row r="943" spans="1:29" ht="15" customHeight="1">
      <c r="A943" s="167"/>
      <c r="B943" s="171"/>
      <c r="C943" s="955"/>
      <c r="D943" s="955"/>
      <c r="E943" s="1007"/>
      <c r="F943" s="1008"/>
      <c r="G943" s="1007"/>
      <c r="H943" s="163"/>
    </row>
    <row r="944" spans="1:29" ht="15" customHeight="1">
      <c r="A944" s="167"/>
      <c r="B944" s="171"/>
      <c r="C944" s="955"/>
      <c r="D944" s="955"/>
      <c r="E944" s="1007"/>
      <c r="F944" s="1008"/>
      <c r="G944" s="1007"/>
      <c r="H944" s="165"/>
      <c r="I944" s="2"/>
      <c r="J944" s="2"/>
      <c r="L944" s="2"/>
      <c r="M944" s="2"/>
      <c r="N944" s="2"/>
      <c r="O944" s="2"/>
      <c r="P944" s="2"/>
      <c r="Q944" s="2"/>
      <c r="R944" s="2"/>
      <c r="S944" s="2"/>
      <c r="T944" s="2"/>
      <c r="U944" s="2"/>
      <c r="V944" s="2"/>
      <c r="W944" s="2"/>
      <c r="X944" s="2"/>
      <c r="Y944" s="2"/>
      <c r="Z944" s="2"/>
      <c r="AA944" s="2"/>
      <c r="AB944" s="2"/>
      <c r="AC944" s="2"/>
    </row>
    <row r="945" spans="1:15" ht="15" customHeight="1">
      <c r="A945" s="167"/>
      <c r="B945" s="171"/>
      <c r="C945" s="955"/>
      <c r="D945" s="955"/>
      <c r="E945" s="1007"/>
      <c r="F945" s="1008"/>
      <c r="G945" s="1007"/>
      <c r="H945" s="163"/>
    </row>
    <row r="946" spans="1:15" ht="15" customHeight="1">
      <c r="A946" s="167"/>
      <c r="B946" s="171"/>
      <c r="C946" s="955"/>
      <c r="D946" s="955"/>
      <c r="E946" s="1007"/>
      <c r="F946" s="1008"/>
      <c r="G946" s="1007"/>
      <c r="H946" s="163"/>
    </row>
    <row r="947" spans="1:15" ht="15" customHeight="1">
      <c r="A947" s="167"/>
      <c r="B947" s="171"/>
      <c r="C947" s="955"/>
      <c r="D947" s="955"/>
      <c r="E947" s="1007"/>
      <c r="F947" s="1008"/>
      <c r="G947" s="1007"/>
      <c r="H947" s="163"/>
    </row>
    <row r="948" spans="1:15" ht="15" customHeight="1">
      <c r="A948" s="167"/>
      <c r="B948" s="171"/>
      <c r="C948" s="955"/>
      <c r="D948" s="955"/>
      <c r="E948" s="1007"/>
      <c r="F948" s="1008"/>
      <c r="G948" s="1007"/>
      <c r="H948" s="163"/>
    </row>
    <row r="949" spans="1:15" ht="15" customHeight="1">
      <c r="A949" s="167"/>
      <c r="B949" s="171"/>
      <c r="C949" s="955"/>
      <c r="D949" s="955"/>
      <c r="E949" s="1007"/>
      <c r="F949" s="1008"/>
      <c r="G949" s="1007"/>
      <c r="H949" s="163"/>
    </row>
    <row r="950" spans="1:15" ht="15" customHeight="1">
      <c r="A950" s="167"/>
      <c r="B950" s="171"/>
      <c r="C950" s="955"/>
      <c r="D950" s="955"/>
      <c r="E950" s="1007"/>
      <c r="F950" s="1008"/>
      <c r="G950" s="1007"/>
      <c r="H950" s="163"/>
    </row>
    <row r="951" spans="1:15" ht="15" customHeight="1">
      <c r="A951" s="167"/>
      <c r="B951" s="171"/>
      <c r="C951" s="955"/>
      <c r="D951" s="955"/>
      <c r="E951" s="1007"/>
      <c r="F951" s="1008"/>
      <c r="G951" s="1007"/>
      <c r="H951" s="163"/>
    </row>
    <row r="952" spans="1:15" ht="15" customHeight="1">
      <c r="A952" s="167"/>
      <c r="B952" s="171"/>
      <c r="C952" s="955"/>
      <c r="D952" s="955"/>
      <c r="E952" s="1007"/>
      <c r="F952" s="1008"/>
      <c r="G952" s="1007"/>
      <c r="H952" s="163"/>
    </row>
    <row r="953" spans="1:15" ht="15" customHeight="1">
      <c r="A953" s="167"/>
      <c r="B953" s="171"/>
      <c r="C953" s="955"/>
      <c r="D953" s="955"/>
      <c r="E953" s="1007"/>
      <c r="F953" s="1008"/>
      <c r="G953" s="1007"/>
      <c r="H953" s="163"/>
    </row>
    <row r="954" spans="1:15" ht="15" customHeight="1">
      <c r="A954" s="167"/>
      <c r="B954" s="171"/>
      <c r="C954" s="955"/>
      <c r="D954" s="955"/>
      <c r="E954" s="1007"/>
      <c r="F954" s="1008"/>
      <c r="G954" s="1007"/>
      <c r="H954" s="163"/>
    </row>
    <row r="955" spans="1:15" ht="15" customHeight="1">
      <c r="A955" s="1031"/>
      <c r="B955" s="172"/>
      <c r="C955" s="955"/>
      <c r="D955" s="955"/>
      <c r="E955" s="1007"/>
      <c r="F955" s="1008"/>
      <c r="G955" s="1007"/>
      <c r="H955" s="163"/>
      <c r="M955" s="2"/>
      <c r="N955" s="2"/>
      <c r="O955" s="2"/>
    </row>
    <row r="956" spans="1:15" ht="15" customHeight="1">
      <c r="A956" s="167"/>
      <c r="B956" s="171"/>
      <c r="C956" s="955"/>
      <c r="D956" s="955"/>
      <c r="E956" s="1007"/>
      <c r="F956" s="1008"/>
      <c r="G956" s="1007"/>
      <c r="H956" s="163"/>
    </row>
    <row r="957" spans="1:15" ht="15" customHeight="1">
      <c r="A957" s="167"/>
      <c r="B957" s="171"/>
      <c r="C957" s="955"/>
      <c r="D957" s="955"/>
      <c r="E957" s="1007"/>
      <c r="F957" s="1008"/>
      <c r="G957" s="1007"/>
      <c r="H957" s="163"/>
    </row>
    <row r="958" spans="1:15" ht="15" customHeight="1">
      <c r="A958" s="167"/>
      <c r="B958" s="171"/>
      <c r="C958" s="955"/>
      <c r="D958" s="955"/>
      <c r="E958" s="1007"/>
      <c r="F958" s="1008"/>
      <c r="G958" s="1007"/>
      <c r="H958" s="163"/>
    </row>
    <row r="959" spans="1:15" ht="15" customHeight="1">
      <c r="A959" s="167"/>
      <c r="B959" s="171"/>
      <c r="C959" s="955"/>
      <c r="D959" s="955"/>
      <c r="E959" s="1007"/>
      <c r="F959" s="1008"/>
      <c r="G959" s="1007"/>
      <c r="H959" s="163"/>
    </row>
    <row r="960" spans="1:15" ht="15" customHeight="1">
      <c r="A960" s="167"/>
      <c r="B960" s="171"/>
      <c r="C960" s="955"/>
      <c r="D960" s="955"/>
      <c r="E960" s="1007"/>
      <c r="F960" s="1008"/>
      <c r="G960" s="1007"/>
      <c r="H960" s="163"/>
    </row>
    <row r="961" spans="1:8" ht="15" customHeight="1">
      <c r="A961" s="167"/>
      <c r="B961" s="171"/>
      <c r="C961" s="955"/>
      <c r="D961" s="955"/>
      <c r="E961" s="1007"/>
      <c r="F961" s="1008"/>
      <c r="G961" s="1007"/>
      <c r="H961" s="163"/>
    </row>
    <row r="962" spans="1:8" ht="15" customHeight="1">
      <c r="A962" s="167"/>
      <c r="B962" s="171"/>
      <c r="C962" s="955"/>
      <c r="D962" s="955"/>
      <c r="E962" s="1007"/>
      <c r="F962" s="1008"/>
      <c r="G962" s="1007"/>
      <c r="H962" s="163"/>
    </row>
    <row r="963" spans="1:8" ht="15" customHeight="1">
      <c r="A963" s="167"/>
      <c r="B963" s="171"/>
      <c r="C963" s="955"/>
      <c r="D963" s="955"/>
      <c r="E963" s="1007"/>
      <c r="F963" s="1008"/>
      <c r="G963" s="1007"/>
      <c r="H963" s="163"/>
    </row>
    <row r="964" spans="1:8" ht="15" customHeight="1">
      <c r="A964" s="167"/>
      <c r="B964" s="171"/>
      <c r="C964" s="955"/>
      <c r="D964" s="955"/>
      <c r="E964" s="1007"/>
      <c r="F964" s="1008"/>
      <c r="G964" s="1007"/>
      <c r="H964" s="163"/>
    </row>
    <row r="965" spans="1:8" ht="15" customHeight="1">
      <c r="A965" s="167"/>
      <c r="B965" s="171"/>
      <c r="C965" s="955"/>
      <c r="D965" s="955"/>
      <c r="E965" s="1007"/>
      <c r="F965" s="1008"/>
      <c r="G965" s="1007"/>
      <c r="H965" s="163"/>
    </row>
    <row r="966" spans="1:8" ht="15" customHeight="1">
      <c r="A966" s="167"/>
      <c r="B966" s="171"/>
      <c r="C966" s="955"/>
      <c r="D966" s="955"/>
      <c r="E966" s="1007"/>
      <c r="F966" s="1008"/>
      <c r="G966" s="1007"/>
      <c r="H966" s="163"/>
    </row>
    <row r="967" spans="1:8" ht="15" customHeight="1">
      <c r="A967" s="167"/>
      <c r="B967" s="171"/>
      <c r="C967" s="955"/>
      <c r="D967" s="955"/>
      <c r="E967" s="1007"/>
      <c r="F967" s="1008"/>
      <c r="G967" s="1007"/>
      <c r="H967" s="163"/>
    </row>
    <row r="968" spans="1:8" ht="15" customHeight="1">
      <c r="A968" s="167"/>
      <c r="B968" s="171"/>
      <c r="C968" s="955"/>
      <c r="D968" s="955"/>
      <c r="E968" s="1007"/>
      <c r="F968" s="1008"/>
      <c r="G968" s="1007"/>
      <c r="H968" s="163"/>
    </row>
    <row r="969" spans="1:8" ht="15" customHeight="1">
      <c r="A969" s="167"/>
      <c r="B969" s="171"/>
      <c r="C969" s="955"/>
      <c r="D969" s="955"/>
      <c r="E969" s="1007"/>
      <c r="F969" s="1008"/>
      <c r="G969" s="1007"/>
      <c r="H969" s="163"/>
    </row>
    <row r="970" spans="1:8" ht="15" customHeight="1">
      <c r="A970" s="167"/>
      <c r="B970" s="171"/>
      <c r="C970" s="955"/>
      <c r="D970" s="955"/>
      <c r="E970" s="1007"/>
      <c r="F970" s="1008"/>
      <c r="G970" s="1007"/>
      <c r="H970" s="163"/>
    </row>
    <row r="971" spans="1:8" ht="15" customHeight="1">
      <c r="A971" s="167"/>
      <c r="B971" s="171"/>
      <c r="C971" s="955"/>
      <c r="D971" s="955"/>
      <c r="E971" s="1007"/>
      <c r="F971" s="1008"/>
      <c r="G971" s="1007"/>
      <c r="H971" s="163"/>
    </row>
    <row r="972" spans="1:8" ht="15" customHeight="1">
      <c r="A972" s="167"/>
      <c r="B972" s="171"/>
      <c r="C972" s="955"/>
      <c r="D972" s="955"/>
      <c r="E972" s="1007"/>
      <c r="F972" s="1008"/>
      <c r="G972" s="1007"/>
      <c r="H972" s="163"/>
    </row>
    <row r="973" spans="1:8" ht="15" customHeight="1">
      <c r="A973" s="167"/>
      <c r="B973" s="955"/>
      <c r="C973" s="955"/>
      <c r="D973" s="955"/>
      <c r="E973" s="1007"/>
      <c r="F973" s="1008"/>
      <c r="G973" s="1007"/>
      <c r="H973" s="163"/>
    </row>
    <row r="974" spans="1:8" ht="15" customHeight="1">
      <c r="A974" s="167"/>
      <c r="B974" s="171"/>
      <c r="C974" s="955"/>
      <c r="D974" s="955"/>
      <c r="E974" s="1007"/>
      <c r="F974" s="1008"/>
      <c r="G974" s="1007"/>
      <c r="H974" s="163"/>
    </row>
    <row r="975" spans="1:8" ht="15" customHeight="1">
      <c r="A975" s="167"/>
      <c r="B975" s="171"/>
      <c r="C975" s="955"/>
      <c r="D975" s="955"/>
      <c r="E975" s="1007"/>
      <c r="F975" s="1008"/>
      <c r="G975" s="1007"/>
      <c r="H975" s="163"/>
    </row>
    <row r="976" spans="1:8" ht="15" customHeight="1">
      <c r="A976" s="173"/>
      <c r="B976" s="174"/>
      <c r="C976" s="175"/>
      <c r="D976" s="175"/>
      <c r="E976" s="1007"/>
      <c r="F976" s="1008"/>
      <c r="G976" s="1007"/>
      <c r="H976" s="163"/>
    </row>
    <row r="977" spans="1:29" ht="15" customHeight="1">
      <c r="A977" s="167"/>
      <c r="B977" s="171"/>
      <c r="C977" s="955"/>
      <c r="D977" s="955"/>
      <c r="E977" s="1007"/>
      <c r="F977" s="1008"/>
      <c r="G977" s="1007"/>
      <c r="H977" s="163"/>
    </row>
    <row r="978" spans="1:29" ht="15" customHeight="1">
      <c r="A978" s="167"/>
      <c r="B978" s="171"/>
      <c r="C978" s="955"/>
      <c r="D978" s="955"/>
      <c r="E978" s="1007"/>
      <c r="F978" s="1008"/>
      <c r="G978" s="1007"/>
      <c r="H978" s="163"/>
    </row>
    <row r="979" spans="1:29" ht="15" customHeight="1">
      <c r="A979" s="167"/>
      <c r="B979" s="171"/>
      <c r="C979" s="955"/>
      <c r="D979" s="955"/>
      <c r="E979" s="1007"/>
      <c r="F979" s="1008"/>
      <c r="G979" s="1007"/>
      <c r="H979" s="163"/>
    </row>
    <row r="980" spans="1:29" ht="15" customHeight="1">
      <c r="A980" s="167"/>
      <c r="B980" s="171"/>
      <c r="C980" s="955"/>
      <c r="D980" s="955"/>
      <c r="E980" s="1007"/>
      <c r="F980" s="1008"/>
      <c r="G980" s="1007"/>
      <c r="H980" s="165"/>
      <c r="I980" s="2"/>
      <c r="J980" s="2"/>
      <c r="L980" s="2"/>
      <c r="M980" s="2"/>
      <c r="N980" s="2"/>
      <c r="O980" s="2"/>
      <c r="P980" s="2"/>
      <c r="Q980" s="2"/>
      <c r="R980" s="2"/>
      <c r="S980" s="2"/>
      <c r="T980" s="2"/>
      <c r="U980" s="2"/>
      <c r="V980" s="2"/>
      <c r="W980" s="2"/>
      <c r="X980" s="2"/>
      <c r="Y980" s="2"/>
      <c r="Z980" s="2"/>
      <c r="AA980" s="2"/>
      <c r="AB980" s="2"/>
      <c r="AC980" s="2"/>
    </row>
    <row r="981" spans="1:29" ht="15" customHeight="1">
      <c r="A981" s="167"/>
      <c r="B981" s="171"/>
      <c r="C981" s="955"/>
      <c r="D981" s="955"/>
      <c r="E981" s="1007"/>
      <c r="F981" s="1008"/>
      <c r="G981" s="1007"/>
      <c r="H981" s="163"/>
    </row>
    <row r="982" spans="1:29" ht="15" customHeight="1">
      <c r="A982" s="167"/>
      <c r="B982" s="171"/>
      <c r="C982" s="955"/>
      <c r="D982" s="955"/>
      <c r="E982" s="1007"/>
      <c r="F982" s="1008"/>
      <c r="G982" s="1007"/>
      <c r="H982" s="163"/>
    </row>
    <row r="983" spans="1:29" ht="15" customHeight="1">
      <c r="A983" s="167"/>
      <c r="B983" s="171"/>
      <c r="C983" s="955"/>
      <c r="D983" s="955"/>
      <c r="E983" s="1007"/>
      <c r="F983" s="1008"/>
      <c r="G983" s="1007"/>
      <c r="H983" s="165"/>
      <c r="I983" s="2"/>
      <c r="J983" s="2"/>
      <c r="L983" s="2"/>
      <c r="M983" s="2"/>
      <c r="N983" s="2"/>
      <c r="O983" s="2"/>
      <c r="P983" s="2"/>
      <c r="Q983" s="2"/>
      <c r="R983" s="2"/>
      <c r="S983" s="2"/>
      <c r="T983" s="2"/>
      <c r="U983" s="2"/>
      <c r="V983" s="2"/>
      <c r="W983" s="2"/>
      <c r="X983" s="2"/>
      <c r="Y983" s="2"/>
      <c r="Z983" s="2"/>
      <c r="AA983" s="2"/>
      <c r="AB983" s="2"/>
      <c r="AC983" s="2"/>
    </row>
    <row r="984" spans="1:29" ht="15" customHeight="1">
      <c r="A984" s="167"/>
      <c r="B984" s="171"/>
      <c r="C984" s="955"/>
      <c r="D984" s="955"/>
      <c r="E984" s="1007"/>
      <c r="F984" s="1008"/>
      <c r="G984" s="1007"/>
      <c r="H984" s="165"/>
      <c r="I984" s="2"/>
      <c r="J984" s="2"/>
      <c r="L984" s="2"/>
      <c r="M984" s="2"/>
      <c r="N984" s="2"/>
      <c r="O984" s="2"/>
      <c r="P984" s="2"/>
      <c r="Q984" s="2"/>
      <c r="R984" s="2"/>
      <c r="S984" s="2"/>
      <c r="T984" s="2"/>
      <c r="U984" s="2"/>
      <c r="V984" s="2"/>
      <c r="W984" s="2"/>
      <c r="X984" s="2"/>
      <c r="Y984" s="2"/>
      <c r="Z984" s="2"/>
      <c r="AA984" s="2"/>
      <c r="AB984" s="2"/>
      <c r="AC984" s="2"/>
    </row>
    <row r="985" spans="1:29" ht="15" customHeight="1">
      <c r="A985" s="167"/>
      <c r="B985" s="171"/>
      <c r="C985" s="955"/>
      <c r="D985" s="955"/>
      <c r="E985" s="1007"/>
      <c r="F985" s="1008"/>
      <c r="G985" s="1007"/>
      <c r="H985" s="163"/>
    </row>
    <row r="986" spans="1:29" ht="15" customHeight="1">
      <c r="A986" s="167"/>
      <c r="B986" s="171"/>
      <c r="C986" s="955"/>
      <c r="D986" s="955"/>
      <c r="E986" s="1007"/>
      <c r="F986" s="1008"/>
      <c r="G986" s="1007"/>
      <c r="H986" s="163"/>
    </row>
    <row r="987" spans="1:29" ht="15" customHeight="1">
      <c r="A987" s="167"/>
      <c r="B987" s="171"/>
      <c r="C987" s="955"/>
      <c r="D987" s="955"/>
      <c r="E987" s="1007"/>
      <c r="F987" s="1008"/>
      <c r="G987" s="1007"/>
      <c r="H987" s="163"/>
      <c r="K987" s="2"/>
    </row>
    <row r="988" spans="1:29" ht="15" customHeight="1">
      <c r="A988" s="167"/>
      <c r="B988" s="171"/>
      <c r="C988" s="955"/>
      <c r="D988" s="955"/>
      <c r="E988" s="1007"/>
      <c r="F988" s="1008"/>
      <c r="G988" s="1007"/>
      <c r="H988" s="163"/>
    </row>
    <row r="989" spans="1:29" ht="15" customHeight="1">
      <c r="A989" s="167"/>
      <c r="B989" s="171"/>
      <c r="C989" s="955"/>
      <c r="D989" s="955"/>
      <c r="E989" s="1007"/>
      <c r="F989" s="1008"/>
      <c r="G989" s="1007"/>
      <c r="H989" s="163"/>
    </row>
    <row r="990" spans="1:29" ht="15" customHeight="1">
      <c r="A990" s="167"/>
      <c r="B990" s="171"/>
      <c r="C990" s="955"/>
      <c r="D990" s="955"/>
      <c r="E990" s="1007"/>
      <c r="F990" s="1008"/>
      <c r="G990" s="1007"/>
      <c r="H990" s="165"/>
      <c r="I990" s="2"/>
      <c r="J990" s="2"/>
      <c r="L990" s="2"/>
      <c r="M990" s="2"/>
      <c r="N990" s="2"/>
      <c r="O990" s="2"/>
      <c r="P990" s="2"/>
      <c r="Q990" s="2"/>
      <c r="R990" s="2"/>
      <c r="S990" s="2"/>
      <c r="T990" s="2"/>
      <c r="U990" s="2"/>
      <c r="V990" s="2"/>
      <c r="W990" s="2"/>
      <c r="X990" s="2"/>
      <c r="Y990" s="2"/>
      <c r="Z990" s="2"/>
      <c r="AA990" s="2"/>
      <c r="AB990" s="2"/>
      <c r="AC990" s="2"/>
    </row>
    <row r="991" spans="1:29" ht="15" customHeight="1">
      <c r="A991" s="167"/>
      <c r="B991" s="171"/>
      <c r="C991" s="955"/>
      <c r="D991" s="955"/>
      <c r="E991" s="1007"/>
      <c r="F991" s="1008"/>
      <c r="G991" s="1007"/>
      <c r="H991" s="163"/>
    </row>
    <row r="992" spans="1:29" ht="15" customHeight="1">
      <c r="A992" s="167"/>
      <c r="B992" s="171"/>
      <c r="C992" s="955"/>
      <c r="D992" s="955"/>
      <c r="E992" s="1007"/>
      <c r="F992" s="1008"/>
      <c r="G992" s="1007"/>
      <c r="H992" s="163"/>
    </row>
    <row r="993" spans="1:11" ht="15" customHeight="1">
      <c r="A993" s="167"/>
      <c r="B993" s="171"/>
      <c r="C993" s="955"/>
      <c r="D993" s="955"/>
      <c r="E993" s="1007"/>
      <c r="F993" s="1008"/>
      <c r="G993" s="1007"/>
      <c r="H993" s="163"/>
    </row>
    <row r="994" spans="1:11" ht="15" customHeight="1">
      <c r="A994" s="167"/>
      <c r="B994" s="171"/>
      <c r="C994" s="955"/>
      <c r="D994" s="955"/>
      <c r="E994" s="1007"/>
      <c r="F994" s="1008"/>
      <c r="G994" s="1007"/>
      <c r="H994" s="163"/>
    </row>
    <row r="995" spans="1:11" ht="15" customHeight="1">
      <c r="A995" s="167"/>
      <c r="B995" s="171"/>
      <c r="C995" s="955"/>
      <c r="D995" s="955"/>
      <c r="E995" s="1007"/>
      <c r="F995" s="1008"/>
      <c r="G995" s="1007"/>
      <c r="H995" s="163"/>
      <c r="K995" s="2"/>
    </row>
    <row r="996" spans="1:11" ht="15" customHeight="1">
      <c r="A996" s="167"/>
      <c r="B996" s="171"/>
      <c r="C996" s="955"/>
      <c r="D996" s="955"/>
      <c r="E996" s="1007"/>
      <c r="F996" s="1008"/>
      <c r="G996" s="1007"/>
      <c r="H996" s="163"/>
    </row>
    <row r="997" spans="1:11" ht="15" customHeight="1">
      <c r="A997" s="167"/>
      <c r="B997" s="171"/>
      <c r="C997" s="955"/>
      <c r="D997" s="955"/>
      <c r="E997" s="1007"/>
      <c r="F997" s="1008"/>
      <c r="G997" s="1007"/>
      <c r="H997" s="163"/>
    </row>
    <row r="998" spans="1:11" ht="15" customHeight="1">
      <c r="A998" s="167"/>
      <c r="B998" s="171"/>
      <c r="C998" s="955"/>
      <c r="D998" s="955"/>
      <c r="E998" s="1007"/>
      <c r="F998" s="1008"/>
      <c r="G998" s="1007"/>
      <c r="H998" s="163"/>
    </row>
    <row r="999" spans="1:11" ht="15" customHeight="1">
      <c r="A999" s="167"/>
      <c r="B999" s="171"/>
      <c r="C999" s="955"/>
      <c r="D999" s="955"/>
      <c r="E999" s="1007"/>
      <c r="F999" s="1008"/>
      <c r="G999" s="1007"/>
      <c r="H999" s="163"/>
    </row>
    <row r="1000" spans="1:11" ht="15" customHeight="1">
      <c r="A1000" s="167"/>
      <c r="B1000" s="171"/>
      <c r="C1000" s="955"/>
      <c r="D1000" s="955"/>
      <c r="E1000" s="1007"/>
      <c r="F1000" s="1008"/>
      <c r="G1000" s="1007"/>
      <c r="H1000" s="163"/>
    </row>
    <row r="1001" spans="1:11" ht="15" customHeight="1">
      <c r="A1001" s="167"/>
      <c r="B1001" s="171"/>
      <c r="C1001" s="955"/>
      <c r="D1001" s="955"/>
      <c r="E1001" s="1007"/>
      <c r="F1001" s="1008"/>
      <c r="G1001" s="1007"/>
      <c r="H1001" s="163"/>
    </row>
    <row r="1002" spans="1:11" ht="15" customHeight="1">
      <c r="A1002" s="167"/>
      <c r="B1002" s="171"/>
      <c r="C1002" s="955"/>
      <c r="D1002" s="955"/>
      <c r="E1002" s="1007"/>
      <c r="F1002" s="1008"/>
      <c r="G1002" s="1007"/>
      <c r="H1002" s="163"/>
    </row>
    <row r="1003" spans="1:11" ht="15" customHeight="1">
      <c r="A1003" s="167"/>
      <c r="B1003" s="171"/>
      <c r="C1003" s="955"/>
      <c r="D1003" s="955"/>
      <c r="E1003" s="1007"/>
      <c r="F1003" s="1008"/>
      <c r="G1003" s="1007"/>
      <c r="H1003" s="163"/>
    </row>
    <row r="1004" spans="1:11" ht="15" customHeight="1">
      <c r="A1004" s="167"/>
      <c r="B1004" s="171"/>
      <c r="C1004" s="955"/>
      <c r="D1004" s="955"/>
      <c r="E1004" s="1007"/>
      <c r="F1004" s="1008"/>
      <c r="G1004" s="1007"/>
      <c r="H1004" s="163"/>
    </row>
    <row r="1005" spans="1:11" ht="15" customHeight="1">
      <c r="A1005" s="167"/>
      <c r="B1005" s="171"/>
      <c r="C1005" s="955"/>
      <c r="D1005" s="955"/>
      <c r="E1005" s="1007"/>
      <c r="F1005" s="1008"/>
      <c r="G1005" s="1007"/>
      <c r="H1005" s="163"/>
    </row>
    <row r="1006" spans="1:11" ht="15" customHeight="1">
      <c r="A1006" s="167"/>
      <c r="B1006" s="171"/>
      <c r="C1006" s="955"/>
      <c r="D1006" s="955"/>
      <c r="E1006" s="1007"/>
      <c r="F1006" s="1008"/>
      <c r="G1006" s="1007"/>
      <c r="H1006" s="163"/>
    </row>
    <row r="1007" spans="1:11" ht="15" customHeight="1">
      <c r="A1007" s="167"/>
      <c r="B1007" s="171"/>
      <c r="C1007" s="955"/>
      <c r="D1007" s="955"/>
      <c r="E1007" s="1007"/>
      <c r="F1007" s="1008"/>
      <c r="G1007" s="1007"/>
      <c r="H1007" s="163"/>
    </row>
    <row r="1008" spans="1:11" ht="15" customHeight="1">
      <c r="A1008" s="167"/>
      <c r="B1008" s="171"/>
      <c r="C1008" s="955"/>
      <c r="D1008" s="955"/>
      <c r="E1008" s="1007"/>
      <c r="F1008" s="1008"/>
      <c r="G1008" s="1007"/>
      <c r="H1008" s="163"/>
    </row>
    <row r="1009" spans="1:8" ht="15" customHeight="1">
      <c r="A1009" s="964"/>
      <c r="B1009" s="1020"/>
      <c r="C1009" s="1021"/>
      <c r="D1009" s="955"/>
      <c r="E1009" s="1007"/>
      <c r="F1009" s="1008"/>
      <c r="G1009" s="1007"/>
      <c r="H1009" s="163"/>
    </row>
    <row r="1010" spans="1:8" ht="15" customHeight="1">
      <c r="A1010" s="167"/>
      <c r="B1010" s="171"/>
      <c r="C1010" s="955"/>
      <c r="D1010" s="955"/>
      <c r="E1010" s="1007"/>
      <c r="F1010" s="1008"/>
      <c r="G1010" s="1007"/>
      <c r="H1010" s="163"/>
    </row>
    <row r="1011" spans="1:8" ht="15" customHeight="1">
      <c r="A1011" s="167"/>
      <c r="B1011" s="171"/>
      <c r="C1011" s="955"/>
      <c r="D1011" s="955"/>
      <c r="E1011" s="1007"/>
      <c r="F1011" s="1008"/>
      <c r="G1011" s="1007"/>
      <c r="H1011" s="163"/>
    </row>
    <row r="1012" spans="1:8" ht="15" customHeight="1">
      <c r="A1012" s="167"/>
      <c r="B1012" s="171"/>
      <c r="C1012" s="955"/>
      <c r="D1012" s="955"/>
      <c r="E1012" s="1007"/>
      <c r="F1012" s="1008"/>
      <c r="G1012" s="1007"/>
      <c r="H1012" s="163"/>
    </row>
    <row r="1013" spans="1:8" ht="15" customHeight="1">
      <c r="A1013" s="167"/>
      <c r="B1013" s="171"/>
      <c r="C1013" s="955"/>
      <c r="D1013" s="955"/>
      <c r="E1013" s="1007"/>
      <c r="F1013" s="1008"/>
      <c r="G1013" s="1007"/>
      <c r="H1013" s="163"/>
    </row>
    <row r="1014" spans="1:8" ht="15" customHeight="1">
      <c r="A1014" s="167"/>
      <c r="B1014" s="171"/>
      <c r="C1014" s="955"/>
      <c r="D1014" s="955"/>
      <c r="E1014" s="1007"/>
      <c r="F1014" s="1008"/>
      <c r="G1014" s="1007"/>
      <c r="H1014" s="163"/>
    </row>
    <row r="1015" spans="1:8" ht="15" customHeight="1">
      <c r="A1015" s="167"/>
      <c r="B1015" s="171"/>
      <c r="C1015" s="955"/>
      <c r="D1015" s="955"/>
      <c r="E1015" s="1007"/>
      <c r="F1015" s="1008"/>
      <c r="G1015" s="1007"/>
      <c r="H1015" s="163"/>
    </row>
    <row r="1016" spans="1:8" ht="15" customHeight="1">
      <c r="A1016" s="167"/>
      <c r="B1016" s="171"/>
      <c r="C1016" s="955"/>
      <c r="D1016" s="955"/>
      <c r="E1016" s="1007"/>
      <c r="F1016" s="1008"/>
      <c r="G1016" s="1007"/>
      <c r="H1016" s="163"/>
    </row>
    <row r="1017" spans="1:8" ht="15" customHeight="1">
      <c r="A1017" s="167"/>
      <c r="B1017" s="171"/>
      <c r="C1017" s="955"/>
      <c r="D1017" s="955"/>
      <c r="E1017" s="1007"/>
      <c r="F1017" s="1008"/>
      <c r="G1017" s="1007"/>
      <c r="H1017" s="163"/>
    </row>
    <row r="1018" spans="1:8" ht="15" customHeight="1">
      <c r="A1018" s="167"/>
      <c r="B1018" s="171"/>
      <c r="C1018" s="955"/>
      <c r="D1018" s="955"/>
      <c r="E1018" s="1007"/>
      <c r="F1018" s="1008"/>
      <c r="G1018" s="1007"/>
      <c r="H1018" s="163"/>
    </row>
    <row r="1019" spans="1:8" ht="15" customHeight="1">
      <c r="A1019" s="167"/>
      <c r="B1019" s="171"/>
      <c r="C1019" s="955"/>
      <c r="D1019" s="955"/>
      <c r="E1019" s="1007"/>
      <c r="F1019" s="1008"/>
      <c r="G1019" s="1007"/>
      <c r="H1019" s="163"/>
    </row>
    <row r="1020" spans="1:8" ht="15" customHeight="1">
      <c r="A1020" s="167"/>
      <c r="B1020" s="171"/>
      <c r="C1020" s="955"/>
      <c r="D1020" s="955"/>
      <c r="E1020" s="1007"/>
      <c r="F1020" s="1008"/>
      <c r="G1020" s="1007"/>
      <c r="H1020" s="163"/>
    </row>
    <row r="1021" spans="1:8" ht="15" customHeight="1">
      <c r="A1021" s="167"/>
      <c r="B1021" s="171"/>
      <c r="C1021" s="955"/>
      <c r="D1021" s="955"/>
      <c r="E1021" s="1007"/>
      <c r="F1021" s="1008"/>
      <c r="G1021" s="1007"/>
      <c r="H1021" s="163"/>
    </row>
    <row r="1022" spans="1:8" ht="15" customHeight="1">
      <c r="A1022" s="167"/>
      <c r="B1022" s="171"/>
      <c r="C1022" s="955"/>
      <c r="D1022" s="955"/>
      <c r="E1022" s="1007"/>
      <c r="F1022" s="1008"/>
      <c r="G1022" s="1007"/>
      <c r="H1022" s="163"/>
    </row>
    <row r="1023" spans="1:8" ht="15" customHeight="1">
      <c r="A1023" s="167"/>
      <c r="B1023" s="171"/>
      <c r="C1023" s="955"/>
      <c r="D1023" s="955"/>
      <c r="E1023" s="1007"/>
      <c r="F1023" s="1008"/>
      <c r="G1023" s="1007"/>
      <c r="H1023" s="163"/>
    </row>
    <row r="1024" spans="1:8" ht="15" customHeight="1">
      <c r="A1024" s="167"/>
      <c r="B1024" s="171"/>
      <c r="C1024" s="955"/>
      <c r="D1024" s="955"/>
      <c r="E1024" s="1007"/>
      <c r="F1024" s="1008"/>
      <c r="G1024" s="1007"/>
      <c r="H1024" s="163"/>
    </row>
    <row r="1025" spans="1:11" ht="15" customHeight="1">
      <c r="A1025" s="167"/>
      <c r="B1025" s="171"/>
      <c r="C1025" s="955"/>
      <c r="D1025" s="955"/>
      <c r="E1025" s="1007"/>
      <c r="F1025" s="1008"/>
      <c r="G1025" s="1007"/>
      <c r="H1025" s="163"/>
    </row>
    <row r="1026" spans="1:11" ht="15" customHeight="1">
      <c r="A1026" s="167"/>
      <c r="B1026" s="171"/>
      <c r="C1026" s="955"/>
      <c r="D1026" s="955"/>
      <c r="E1026" s="1007"/>
      <c r="F1026" s="1008"/>
      <c r="G1026" s="1007"/>
      <c r="H1026" s="163"/>
    </row>
    <row r="1027" spans="1:11" ht="15" customHeight="1">
      <c r="A1027" s="167"/>
      <c r="B1027" s="171"/>
      <c r="C1027" s="955"/>
      <c r="D1027" s="955"/>
      <c r="E1027" s="1007"/>
      <c r="F1027" s="1008"/>
      <c r="G1027" s="1007"/>
      <c r="H1027" s="163"/>
    </row>
    <row r="1028" spans="1:11" ht="15" customHeight="1">
      <c r="A1028" s="167"/>
      <c r="B1028" s="171"/>
      <c r="C1028" s="955"/>
      <c r="D1028" s="955"/>
      <c r="E1028" s="1007"/>
      <c r="F1028" s="1008"/>
      <c r="G1028" s="1007"/>
      <c r="H1028" s="163"/>
    </row>
    <row r="1029" spans="1:11" ht="15" customHeight="1">
      <c r="A1029" s="167"/>
      <c r="B1029" s="171"/>
      <c r="C1029" s="955"/>
      <c r="D1029" s="955"/>
      <c r="E1029" s="1007"/>
      <c r="F1029" s="1008"/>
      <c r="G1029" s="1007"/>
      <c r="H1029" s="163"/>
    </row>
    <row r="1030" spans="1:11" ht="15" customHeight="1">
      <c r="A1030" s="167"/>
      <c r="B1030" s="171"/>
      <c r="C1030" s="955"/>
      <c r="D1030" s="955"/>
      <c r="E1030" s="1007"/>
      <c r="F1030" s="1008"/>
      <c r="G1030" s="1007"/>
      <c r="H1030" s="163"/>
    </row>
    <row r="1031" spans="1:11" ht="15" customHeight="1">
      <c r="A1031" s="167"/>
      <c r="B1031" s="171"/>
      <c r="C1031" s="955"/>
      <c r="D1031" s="955"/>
      <c r="E1031" s="1007"/>
      <c r="F1031" s="1008"/>
      <c r="G1031" s="1007"/>
      <c r="H1031" s="163"/>
    </row>
    <row r="1032" spans="1:11" ht="15" customHeight="1">
      <c r="A1032" s="167"/>
      <c r="B1032" s="172"/>
      <c r="C1032" s="955"/>
      <c r="D1032" s="955"/>
      <c r="E1032" s="1007"/>
      <c r="F1032" s="1008"/>
      <c r="G1032" s="1007"/>
      <c r="H1032" s="163"/>
    </row>
    <row r="1033" spans="1:11" ht="15" customHeight="1">
      <c r="A1033" s="167"/>
      <c r="B1033" s="171"/>
      <c r="C1033" s="955"/>
      <c r="D1033" s="955"/>
      <c r="E1033" s="1007"/>
      <c r="F1033" s="1008"/>
      <c r="G1033" s="1007"/>
      <c r="H1033" s="163"/>
    </row>
    <row r="1034" spans="1:11" ht="15" customHeight="1">
      <c r="A1034" s="167"/>
      <c r="B1034" s="171"/>
      <c r="C1034" s="955"/>
      <c r="D1034" s="955"/>
      <c r="E1034" s="1007"/>
      <c r="F1034" s="1008"/>
      <c r="G1034" s="1007"/>
      <c r="H1034" s="163"/>
      <c r="K1034" s="2"/>
    </row>
    <row r="1035" spans="1:11" ht="15" customHeight="1">
      <c r="A1035" s="167"/>
      <c r="B1035" s="171"/>
      <c r="C1035" s="955"/>
      <c r="D1035" s="955"/>
      <c r="E1035" s="1007"/>
      <c r="F1035" s="1008"/>
      <c r="G1035" s="1007"/>
      <c r="H1035" s="163"/>
      <c r="K1035" s="2"/>
    </row>
    <row r="1036" spans="1:11" ht="15" customHeight="1">
      <c r="A1036" s="167"/>
      <c r="B1036" s="171"/>
      <c r="C1036" s="955"/>
      <c r="D1036" s="955"/>
      <c r="E1036" s="1007"/>
      <c r="F1036" s="1008"/>
      <c r="G1036" s="1007"/>
      <c r="H1036" s="163"/>
    </row>
    <row r="1037" spans="1:11" ht="15" customHeight="1">
      <c r="A1037" s="167"/>
      <c r="B1037" s="171"/>
      <c r="C1037" s="955"/>
      <c r="D1037" s="955"/>
      <c r="E1037" s="1007"/>
      <c r="F1037" s="1008"/>
      <c r="G1037" s="1007"/>
      <c r="H1037" s="163"/>
    </row>
    <row r="1038" spans="1:11" ht="15" customHeight="1">
      <c r="A1038" s="167"/>
      <c r="B1038" s="171"/>
      <c r="C1038" s="955"/>
      <c r="D1038" s="955"/>
      <c r="E1038" s="1007"/>
      <c r="F1038" s="1008"/>
      <c r="G1038" s="1007"/>
      <c r="H1038" s="163"/>
    </row>
    <row r="1039" spans="1:11" ht="15" customHeight="1">
      <c r="A1039" s="167"/>
      <c r="B1039" s="171"/>
      <c r="C1039" s="955"/>
      <c r="D1039" s="955"/>
      <c r="E1039" s="1007"/>
      <c r="F1039" s="1008"/>
      <c r="G1039" s="1007"/>
      <c r="H1039" s="163"/>
    </row>
    <row r="1040" spans="1:11" ht="15.75" customHeight="1">
      <c r="A1040" s="167"/>
      <c r="B1040" s="171"/>
      <c r="C1040" s="955"/>
      <c r="D1040" s="955"/>
      <c r="E1040" s="1007"/>
      <c r="F1040" s="1008"/>
      <c r="G1040" s="1007"/>
      <c r="H1040" s="163"/>
    </row>
    <row r="1041" spans="1:29" ht="15.75" customHeight="1">
      <c r="A1041" s="167"/>
      <c r="B1041" s="171"/>
      <c r="C1041" s="955"/>
      <c r="D1041" s="955"/>
      <c r="E1041" s="1007"/>
      <c r="F1041" s="1008"/>
      <c r="G1041" s="1007"/>
      <c r="H1041" s="163"/>
      <c r="K1041" s="2"/>
    </row>
    <row r="1042" spans="1:29" ht="15.75" customHeight="1">
      <c r="A1042" s="167"/>
      <c r="B1042" s="171"/>
      <c r="C1042" s="955"/>
      <c r="D1042" s="955"/>
      <c r="E1042" s="1007"/>
      <c r="F1042" s="1008"/>
      <c r="G1042" s="1007"/>
      <c r="H1042" s="163"/>
    </row>
    <row r="1043" spans="1:29" ht="15.75" customHeight="1">
      <c r="A1043" s="167"/>
      <c r="B1043" s="171"/>
      <c r="C1043" s="955"/>
      <c r="D1043" s="955"/>
      <c r="E1043" s="1007"/>
      <c r="F1043" s="1008"/>
      <c r="G1043" s="1007"/>
      <c r="H1043" s="163"/>
    </row>
    <row r="1044" spans="1:29" ht="15.75" customHeight="1">
      <c r="A1044" s="167"/>
      <c r="B1044" s="171"/>
      <c r="C1044" s="955"/>
      <c r="D1044" s="955"/>
      <c r="E1044" s="1007"/>
      <c r="F1044" s="1008"/>
      <c r="G1044" s="1007"/>
      <c r="H1044" s="163"/>
    </row>
    <row r="1045" spans="1:29" ht="15.75" customHeight="1">
      <c r="A1045" s="167"/>
      <c r="B1045" s="171"/>
      <c r="C1045" s="955"/>
      <c r="D1045" s="955"/>
      <c r="E1045" s="1007"/>
      <c r="F1045" s="1008"/>
      <c r="G1045" s="1007"/>
      <c r="H1045" s="163"/>
    </row>
    <row r="1046" spans="1:29" ht="15.75" customHeight="1">
      <c r="A1046" s="167"/>
      <c r="B1046" s="171"/>
      <c r="C1046" s="955"/>
      <c r="D1046" s="955"/>
      <c r="E1046" s="1007"/>
      <c r="F1046" s="1008"/>
      <c r="G1046" s="1007"/>
      <c r="H1046" s="163"/>
    </row>
    <row r="1047" spans="1:29" ht="15.75" customHeight="1">
      <c r="A1047" s="167"/>
      <c r="B1047" s="171"/>
      <c r="C1047" s="955"/>
      <c r="D1047" s="955"/>
      <c r="E1047" s="1007"/>
      <c r="F1047" s="1008"/>
      <c r="G1047" s="1007"/>
      <c r="H1047" s="165"/>
      <c r="I1047" s="2"/>
      <c r="J1047" s="2"/>
      <c r="L1047" s="2"/>
      <c r="M1047" s="2"/>
      <c r="N1047" s="2"/>
      <c r="O1047" s="2"/>
      <c r="P1047" s="2"/>
      <c r="Q1047" s="2"/>
      <c r="R1047" s="2"/>
      <c r="S1047" s="2"/>
      <c r="T1047" s="2"/>
      <c r="U1047" s="2"/>
      <c r="V1047" s="2"/>
      <c r="W1047" s="2"/>
      <c r="X1047" s="2"/>
      <c r="Y1047" s="2"/>
      <c r="Z1047" s="2"/>
      <c r="AA1047" s="2"/>
      <c r="AB1047" s="2"/>
      <c r="AC1047" s="2"/>
    </row>
    <row r="1048" spans="1:29" ht="15.75" customHeight="1">
      <c r="A1048" s="167"/>
      <c r="B1048" s="171"/>
      <c r="C1048" s="955"/>
      <c r="D1048" s="955"/>
      <c r="E1048" s="1007"/>
      <c r="F1048" s="1008"/>
      <c r="G1048" s="1007"/>
      <c r="H1048" s="163"/>
    </row>
    <row r="1049" spans="1:29" ht="15.75" customHeight="1">
      <c r="A1049" s="167"/>
      <c r="B1049" s="171"/>
      <c r="C1049" s="955"/>
      <c r="D1049" s="955"/>
      <c r="E1049" s="1007"/>
      <c r="F1049" s="1008"/>
      <c r="G1049" s="1007"/>
      <c r="H1049" s="163"/>
    </row>
    <row r="1050" spans="1:29" ht="15.75" customHeight="1">
      <c r="A1050" s="167"/>
      <c r="B1050" s="171"/>
      <c r="C1050" s="955"/>
      <c r="D1050" s="955"/>
      <c r="E1050" s="1007"/>
      <c r="F1050" s="1008"/>
      <c r="G1050" s="1007"/>
      <c r="H1050" s="163"/>
    </row>
    <row r="1051" spans="1:29" ht="15.75" customHeight="1">
      <c r="A1051" s="167"/>
      <c r="B1051" s="171"/>
      <c r="C1051" s="955"/>
      <c r="D1051" s="955"/>
      <c r="E1051" s="1007"/>
      <c r="F1051" s="1008"/>
      <c r="G1051" s="1007"/>
      <c r="H1051" s="163"/>
    </row>
    <row r="1052" spans="1:29" ht="15.75" customHeight="1">
      <c r="A1052" s="167"/>
      <c r="B1052" s="171"/>
      <c r="C1052" s="955"/>
      <c r="D1052" s="955"/>
      <c r="E1052" s="1007"/>
      <c r="F1052" s="1008"/>
      <c r="G1052" s="1007"/>
      <c r="H1052" s="163"/>
    </row>
    <row r="1053" spans="1:29" ht="15.75" customHeight="1">
      <c r="A1053" s="167"/>
      <c r="B1053" s="171"/>
      <c r="C1053" s="955"/>
      <c r="D1053" s="955"/>
      <c r="E1053" s="1007"/>
      <c r="F1053" s="1008"/>
      <c r="G1053" s="1007"/>
      <c r="H1053" s="163"/>
    </row>
    <row r="1054" spans="1:29" ht="15.75" customHeight="1">
      <c r="A1054" s="167"/>
      <c r="B1054" s="171"/>
      <c r="C1054" s="955"/>
      <c r="D1054" s="955"/>
      <c r="E1054" s="1007"/>
      <c r="F1054" s="1008"/>
      <c r="G1054" s="1007"/>
      <c r="H1054" s="163"/>
      <c r="K1054" s="2"/>
    </row>
    <row r="1055" spans="1:29" ht="15.75" customHeight="1">
      <c r="A1055" s="167"/>
      <c r="B1055" s="171"/>
      <c r="C1055" s="955"/>
      <c r="D1055" s="955"/>
      <c r="E1055" s="1007"/>
      <c r="F1055" s="1008"/>
      <c r="G1055" s="1007"/>
      <c r="H1055" s="163"/>
    </row>
    <row r="1056" spans="1:29" ht="15.75" customHeight="1">
      <c r="A1056" s="167"/>
      <c r="B1056" s="171"/>
      <c r="C1056" s="955"/>
      <c r="D1056" s="955"/>
      <c r="E1056" s="1007"/>
      <c r="F1056" s="1008"/>
      <c r="G1056" s="1007"/>
      <c r="H1056" s="163"/>
    </row>
    <row r="1057" spans="1:8" ht="15.75" customHeight="1">
      <c r="A1057" s="167"/>
      <c r="B1057" s="171"/>
      <c r="C1057" s="955"/>
      <c r="D1057" s="955"/>
      <c r="E1057" s="1007"/>
      <c r="F1057" s="1008"/>
      <c r="G1057" s="1007"/>
      <c r="H1057" s="163"/>
    </row>
    <row r="1058" spans="1:8" ht="15.75" customHeight="1">
      <c r="A1058" s="167"/>
      <c r="B1058" s="171"/>
      <c r="C1058" s="955"/>
      <c r="D1058" s="955"/>
      <c r="E1058" s="1007"/>
      <c r="F1058" s="1008"/>
      <c r="G1058" s="1007"/>
      <c r="H1058" s="163"/>
    </row>
    <row r="1059" spans="1:8" ht="15.75" customHeight="1">
      <c r="A1059" s="167"/>
      <c r="B1059" s="171"/>
      <c r="C1059" s="955"/>
      <c r="D1059" s="955"/>
      <c r="E1059" s="1007"/>
      <c r="F1059" s="1008"/>
      <c r="G1059" s="1007"/>
      <c r="H1059" s="163"/>
    </row>
    <row r="1060" spans="1:8" ht="15.75" customHeight="1">
      <c r="A1060" s="167"/>
      <c r="B1060" s="171"/>
      <c r="C1060" s="955"/>
      <c r="D1060" s="955"/>
      <c r="E1060" s="1007"/>
      <c r="F1060" s="1008"/>
      <c r="G1060" s="1007"/>
      <c r="H1060" s="163"/>
    </row>
    <row r="1061" spans="1:8" ht="15.75" customHeight="1">
      <c r="A1061" s="167"/>
      <c r="B1061" s="171"/>
      <c r="C1061" s="955"/>
      <c r="D1061" s="955"/>
      <c r="E1061" s="1007"/>
      <c r="F1061" s="1008"/>
      <c r="G1061" s="1007"/>
      <c r="H1061" s="163"/>
    </row>
    <row r="1062" spans="1:8" ht="15.75" customHeight="1">
      <c r="A1062" s="167"/>
      <c r="B1062" s="171"/>
      <c r="C1062" s="955"/>
      <c r="D1062" s="955"/>
      <c r="E1062" s="1007"/>
      <c r="F1062" s="1008"/>
      <c r="G1062" s="1007"/>
      <c r="H1062" s="163"/>
    </row>
    <row r="1063" spans="1:8" ht="15.75" customHeight="1">
      <c r="A1063" s="964"/>
      <c r="B1063" s="955"/>
      <c r="C1063" s="955"/>
      <c r="D1063" s="955"/>
      <c r="E1063" s="1007"/>
      <c r="F1063" s="1008"/>
      <c r="G1063" s="1007"/>
      <c r="H1063" s="163"/>
    </row>
    <row r="1064" spans="1:8" ht="15.75" customHeight="1">
      <c r="A1064" s="167"/>
      <c r="B1064" s="171"/>
      <c r="C1064" s="955"/>
      <c r="D1064" s="955"/>
      <c r="E1064" s="1007"/>
      <c r="F1064" s="1008"/>
      <c r="G1064" s="1007"/>
      <c r="H1064" s="163"/>
    </row>
    <row r="1065" spans="1:8" ht="15.75" customHeight="1">
      <c r="A1065" s="167"/>
      <c r="B1065" s="171"/>
      <c r="C1065" s="955"/>
      <c r="D1065" s="955"/>
      <c r="E1065" s="1007"/>
      <c r="F1065" s="1008"/>
      <c r="G1065" s="1007"/>
      <c r="H1065" s="163"/>
    </row>
    <row r="1066" spans="1:8" ht="15.75" customHeight="1">
      <c r="A1066" s="167"/>
      <c r="B1066" s="171"/>
      <c r="C1066" s="955"/>
      <c r="D1066" s="955"/>
      <c r="E1066" s="1007"/>
      <c r="F1066" s="1008"/>
      <c r="G1066" s="1007"/>
      <c r="H1066" s="163"/>
    </row>
    <row r="1067" spans="1:8" ht="15.75" customHeight="1">
      <c r="A1067" s="167"/>
      <c r="B1067" s="171"/>
      <c r="C1067" s="955"/>
      <c r="D1067" s="955"/>
      <c r="E1067" s="1007"/>
      <c r="F1067" s="1008"/>
      <c r="G1067" s="1007"/>
      <c r="H1067" s="163"/>
    </row>
    <row r="1068" spans="1:8" ht="15" customHeight="1">
      <c r="A1068" s="167"/>
      <c r="B1068" s="171"/>
      <c r="C1068" s="955"/>
      <c r="D1068" s="955"/>
      <c r="E1068" s="1007"/>
      <c r="F1068" s="1008"/>
      <c r="G1068" s="1007"/>
    </row>
    <row r="1069" spans="1:8" ht="15" customHeight="1">
      <c r="A1069" s="167"/>
      <c r="B1069" s="171"/>
      <c r="C1069" s="955"/>
      <c r="D1069" s="955"/>
      <c r="E1069" s="1007"/>
      <c r="F1069" s="1008"/>
      <c r="G1069" s="1007"/>
    </row>
    <row r="1070" spans="1:8" ht="15" customHeight="1">
      <c r="A1070" s="167"/>
      <c r="B1070" s="171"/>
      <c r="C1070" s="955"/>
      <c r="D1070" s="955"/>
      <c r="E1070" s="1007"/>
      <c r="F1070" s="1008"/>
      <c r="G1070" s="1007"/>
    </row>
    <row r="1071" spans="1:8" ht="15" customHeight="1">
      <c r="A1071" s="167"/>
      <c r="B1071" s="171"/>
      <c r="C1071" s="955"/>
      <c r="D1071" s="955"/>
      <c r="E1071" s="1007"/>
      <c r="F1071" s="1008"/>
      <c r="G1071" s="1007"/>
    </row>
    <row r="1072" spans="1:8" ht="15" customHeight="1">
      <c r="A1072" s="167"/>
      <c r="B1072" s="171"/>
      <c r="C1072" s="955"/>
      <c r="D1072" s="955"/>
      <c r="E1072" s="1007"/>
      <c r="F1072" s="1008"/>
      <c r="G1072" s="1007"/>
    </row>
    <row r="1073" spans="1:7" ht="15" customHeight="1">
      <c r="A1073" s="963"/>
      <c r="B1073" s="171"/>
      <c r="C1073" s="955"/>
      <c r="D1073" s="955"/>
      <c r="E1073" s="1007"/>
      <c r="F1073" s="1008"/>
      <c r="G1073" s="1007"/>
    </row>
  </sheetData>
  <autoFilter ref="A1:G876" xr:uid="{00000000-0009-0000-0000-000009000000}"/>
  <dataValidations count="3">
    <dataValidation type="list" allowBlank="1" showErrorMessage="1" sqref="D1" xr:uid="{00000000-0002-0000-0900-000000000000}">
      <formula1>$K$1:$K$147</formula1>
    </dataValidation>
    <dataValidation type="list" allowBlank="1" showErrorMessage="1" sqref="C2:C1073" xr:uid="{00000000-0002-0000-0900-000001000000}">
      <formula1>$I$1:$I$11</formula1>
    </dataValidation>
    <dataValidation type="list" allowBlank="1" showInputMessage="1" showErrorMessage="1" sqref="D2:D1167" xr:uid="{00000000-0002-0000-0900-000002000000}">
      <formula1>$K$3:$K$147</formula1>
    </dataValidation>
  </dataValidations>
  <hyperlinks>
    <hyperlink ref="A529" r:id="rId1" xr:uid="{00000000-0004-0000-0900-000000000000}"/>
    <hyperlink ref="A114" r:id="rId2" xr:uid="{D85D2FE3-42A9-4AB1-A033-DF56CB51A86A}"/>
    <hyperlink ref="A494" r:id="rId3" xr:uid="{8A1DD5C4-040D-4BDA-8474-5EFA44546471}"/>
  </hyperlinks>
  <pageMargins left="0.7" right="0.7" top="0.75" bottom="0.75" header="0" footer="0"/>
  <pageSetup orientation="landscape"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56" t="s">
        <v>1637</v>
      </c>
      <c r="B1" s="956" t="s">
        <v>265</v>
      </c>
      <c r="C1" s="956" t="s">
        <v>1640</v>
      </c>
      <c r="D1" s="956" t="s">
        <v>278</v>
      </c>
    </row>
    <row r="2" spans="1:8" ht="15">
      <c r="A2" s="168" t="s">
        <v>568</v>
      </c>
      <c r="B2" s="169" t="s">
        <v>567</v>
      </c>
      <c r="C2" s="955" t="s">
        <v>75</v>
      </c>
      <c r="D2" s="955" t="s">
        <v>29</v>
      </c>
      <c r="G2" s="946" t="s">
        <v>2205</v>
      </c>
      <c r="H2" s="946" t="s">
        <v>2206</v>
      </c>
    </row>
    <row r="3" spans="1:8" ht="15">
      <c r="A3" s="168" t="s">
        <v>570</v>
      </c>
      <c r="B3" s="169" t="s">
        <v>569</v>
      </c>
      <c r="C3" s="955" t="s">
        <v>144</v>
      </c>
      <c r="D3" s="955" t="s">
        <v>31</v>
      </c>
      <c r="G3" s="946" t="s">
        <v>2224</v>
      </c>
      <c r="H3" s="946" t="s">
        <v>2225</v>
      </c>
    </row>
    <row r="4" spans="1:8" ht="15">
      <c r="A4" s="168" t="s">
        <v>572</v>
      </c>
      <c r="B4" s="169" t="s">
        <v>571</v>
      </c>
      <c r="C4" s="955" t="s">
        <v>75</v>
      </c>
      <c r="D4" s="955" t="s">
        <v>29</v>
      </c>
      <c r="G4" s="946" t="s">
        <v>2226</v>
      </c>
      <c r="H4" s="946" t="s">
        <v>2227</v>
      </c>
    </row>
    <row r="5" spans="1:8" ht="15">
      <c r="A5" s="168" t="s">
        <v>574</v>
      </c>
      <c r="B5" s="169" t="s">
        <v>573</v>
      </c>
      <c r="C5" s="955" t="s">
        <v>144</v>
      </c>
      <c r="D5" s="955" t="s">
        <v>31</v>
      </c>
      <c r="G5" s="946" t="s">
        <v>2854</v>
      </c>
      <c r="H5" s="946" t="s">
        <v>2393</v>
      </c>
    </row>
    <row r="6" spans="1:8" ht="15">
      <c r="A6" s="168" t="s">
        <v>576</v>
      </c>
      <c r="B6" s="169" t="s">
        <v>575</v>
      </c>
      <c r="C6" s="955" t="s">
        <v>75</v>
      </c>
      <c r="D6" s="955" t="s">
        <v>29</v>
      </c>
      <c r="G6" s="946" t="s">
        <v>2389</v>
      </c>
      <c r="H6" s="946" t="s">
        <v>2390</v>
      </c>
    </row>
    <row r="7" spans="1:8" ht="15">
      <c r="A7" s="168" t="s">
        <v>578</v>
      </c>
      <c r="B7" s="169" t="s">
        <v>577</v>
      </c>
      <c r="C7" s="955" t="s">
        <v>144</v>
      </c>
      <c r="D7" s="955" t="s">
        <v>31</v>
      </c>
      <c r="G7" s="946" t="s">
        <v>2391</v>
      </c>
      <c r="H7" s="946" t="s">
        <v>2392</v>
      </c>
    </row>
    <row r="8" spans="1:8" ht="15">
      <c r="A8" s="168" t="s">
        <v>580</v>
      </c>
      <c r="B8" s="169" t="s">
        <v>579</v>
      </c>
      <c r="C8" s="955" t="s">
        <v>75</v>
      </c>
      <c r="D8" s="955" t="s">
        <v>29</v>
      </c>
      <c r="G8" s="946" t="s">
        <v>2183</v>
      </c>
      <c r="H8" s="946" t="s">
        <v>2184</v>
      </c>
    </row>
    <row r="9" spans="1:8" ht="15">
      <c r="A9" s="168" t="s">
        <v>582</v>
      </c>
      <c r="B9" s="169" t="s">
        <v>581</v>
      </c>
      <c r="C9" s="955" t="s">
        <v>144</v>
      </c>
      <c r="D9" s="955" t="s">
        <v>31</v>
      </c>
      <c r="G9" s="946" t="s">
        <v>2027</v>
      </c>
      <c r="H9" s="946" t="s">
        <v>2017</v>
      </c>
    </row>
    <row r="10" spans="1:8" ht="15">
      <c r="A10" s="168" t="s">
        <v>584</v>
      </c>
      <c r="B10" s="169" t="s">
        <v>583</v>
      </c>
      <c r="C10" s="955" t="s">
        <v>75</v>
      </c>
      <c r="D10" s="955" t="s">
        <v>29</v>
      </c>
      <c r="G10" s="946" t="s">
        <v>2015</v>
      </c>
      <c r="H10" s="946" t="s">
        <v>2016</v>
      </c>
    </row>
    <row r="11" spans="1:8" ht="15">
      <c r="A11" s="168" t="s">
        <v>586</v>
      </c>
      <c r="B11" s="169" t="s">
        <v>585</v>
      </c>
      <c r="C11" s="955" t="s">
        <v>144</v>
      </c>
      <c r="D11" s="955" t="s">
        <v>31</v>
      </c>
      <c r="G11" s="946" t="s">
        <v>2102</v>
      </c>
      <c r="H11" s="946" t="s">
        <v>2103</v>
      </c>
    </row>
    <row r="12" spans="1:8" ht="15">
      <c r="A12" s="168" t="s">
        <v>588</v>
      </c>
      <c r="B12" s="169" t="s">
        <v>587</v>
      </c>
      <c r="C12" s="955" t="s">
        <v>75</v>
      </c>
      <c r="D12" s="955" t="s">
        <v>29</v>
      </c>
      <c r="G12" s="946" t="s">
        <v>2737</v>
      </c>
      <c r="H12" s="946" t="s">
        <v>2738</v>
      </c>
    </row>
    <row r="13" spans="1:8" ht="15">
      <c r="A13" s="168" t="s">
        <v>590</v>
      </c>
      <c r="B13" s="169" t="s">
        <v>589</v>
      </c>
      <c r="C13" s="955" t="s">
        <v>144</v>
      </c>
      <c r="D13" s="955" t="s">
        <v>31</v>
      </c>
      <c r="G13" s="946" t="s">
        <v>2834</v>
      </c>
      <c r="H13" s="946" t="s">
        <v>2835</v>
      </c>
    </row>
    <row r="14" spans="1:8" ht="15">
      <c r="A14" s="168" t="s">
        <v>592</v>
      </c>
      <c r="B14" s="169" t="s">
        <v>591</v>
      </c>
      <c r="C14" s="955" t="s">
        <v>75</v>
      </c>
      <c r="D14" s="955" t="s">
        <v>29</v>
      </c>
      <c r="G14" s="946" t="s">
        <v>2060</v>
      </c>
      <c r="H14" s="946" t="s">
        <v>2061</v>
      </c>
    </row>
    <row r="15" spans="1:8" ht="15">
      <c r="A15" s="168" t="s">
        <v>594</v>
      </c>
      <c r="B15" s="169" t="s">
        <v>593</v>
      </c>
      <c r="C15" s="955" t="s">
        <v>144</v>
      </c>
      <c r="D15" s="955" t="s">
        <v>31</v>
      </c>
      <c r="G15" s="946" t="s">
        <v>2783</v>
      </c>
      <c r="H15" s="946" t="s">
        <v>2784</v>
      </c>
    </row>
    <row r="16" spans="1:8" ht="15">
      <c r="A16" s="168" t="s">
        <v>596</v>
      </c>
      <c r="B16" s="169" t="s">
        <v>595</v>
      </c>
      <c r="C16" s="955" t="s">
        <v>75</v>
      </c>
      <c r="D16" s="955" t="s">
        <v>29</v>
      </c>
      <c r="G16" s="946" t="s">
        <v>2020</v>
      </c>
      <c r="H16" s="946" t="s">
        <v>2021</v>
      </c>
    </row>
    <row r="17" spans="1:8" ht="15">
      <c r="A17" s="168" t="s">
        <v>598</v>
      </c>
      <c r="B17" s="169" t="s">
        <v>597</v>
      </c>
      <c r="C17" s="955" t="s">
        <v>144</v>
      </c>
      <c r="D17" s="955" t="s">
        <v>31</v>
      </c>
      <c r="G17" s="946" t="s">
        <v>2621</v>
      </c>
      <c r="H17" s="946" t="s">
        <v>2622</v>
      </c>
    </row>
    <row r="18" spans="1:8" ht="15">
      <c r="A18" s="168" t="s">
        <v>754</v>
      </c>
      <c r="B18" s="169" t="s">
        <v>753</v>
      </c>
      <c r="C18" s="955" t="s">
        <v>1642</v>
      </c>
      <c r="D18" s="955"/>
      <c r="G18" s="946" t="s">
        <v>2822</v>
      </c>
      <c r="H18" s="946" t="s">
        <v>2823</v>
      </c>
    </row>
    <row r="19" spans="1:8" ht="15">
      <c r="A19" s="168" t="s">
        <v>756</v>
      </c>
      <c r="B19" s="169" t="s">
        <v>755</v>
      </c>
      <c r="C19" s="955" t="s">
        <v>1642</v>
      </c>
      <c r="D19" s="955"/>
      <c r="G19" s="946" t="s">
        <v>2109</v>
      </c>
      <c r="H19" s="946" t="s">
        <v>2110</v>
      </c>
    </row>
    <row r="20" spans="1:8" ht="15">
      <c r="A20" s="168" t="s">
        <v>758</v>
      </c>
      <c r="B20" s="169" t="s">
        <v>757</v>
      </c>
      <c r="C20" s="955" t="s">
        <v>1642</v>
      </c>
      <c r="D20" s="955"/>
      <c r="G20" s="946" t="s">
        <v>2477</v>
      </c>
      <c r="H20" s="946" t="s">
        <v>2478</v>
      </c>
    </row>
    <row r="21" spans="1:8" ht="15">
      <c r="A21" s="168" t="s">
        <v>760</v>
      </c>
      <c r="B21" s="169" t="s">
        <v>759</v>
      </c>
      <c r="C21" s="955" t="s">
        <v>1642</v>
      </c>
      <c r="D21" s="955"/>
      <c r="G21" s="946" t="s">
        <v>2118</v>
      </c>
      <c r="H21" s="946" t="s">
        <v>2119</v>
      </c>
    </row>
    <row r="22" spans="1:8" ht="15">
      <c r="A22" s="168" t="s">
        <v>762</v>
      </c>
      <c r="B22" s="169" t="s">
        <v>761</v>
      </c>
      <c r="C22" s="955" t="s">
        <v>1642</v>
      </c>
      <c r="D22" s="955"/>
      <c r="G22" s="946" t="s">
        <v>2761</v>
      </c>
      <c r="H22" s="946" t="s">
        <v>2762</v>
      </c>
    </row>
    <row r="23" spans="1:8" ht="15">
      <c r="A23" s="168" t="s">
        <v>764</v>
      </c>
      <c r="B23" s="169" t="s">
        <v>763</v>
      </c>
      <c r="C23" s="955" t="s">
        <v>1642</v>
      </c>
      <c r="D23" s="955"/>
      <c r="G23" s="946" t="s">
        <v>2826</v>
      </c>
      <c r="H23" s="946" t="s">
        <v>2481</v>
      </c>
    </row>
    <row r="24" spans="1:8" ht="15">
      <c r="A24" s="168" t="s">
        <v>766</v>
      </c>
      <c r="B24" s="169" t="s">
        <v>765</v>
      </c>
      <c r="C24" s="955" t="s">
        <v>1642</v>
      </c>
      <c r="D24" s="955"/>
      <c r="G24" s="946" t="s">
        <v>2479</v>
      </c>
      <c r="H24" s="946" t="s">
        <v>2480</v>
      </c>
    </row>
    <row r="25" spans="1:8" ht="15">
      <c r="A25" s="168" t="s">
        <v>768</v>
      </c>
      <c r="B25" s="169" t="s">
        <v>767</v>
      </c>
      <c r="C25" s="955" t="s">
        <v>1642</v>
      </c>
      <c r="D25" s="955"/>
      <c r="G25" s="946" t="s">
        <v>2032</v>
      </c>
      <c r="H25" s="946" t="s">
        <v>2033</v>
      </c>
    </row>
    <row r="26" spans="1:8" ht="15">
      <c r="A26" s="168" t="s">
        <v>770</v>
      </c>
      <c r="B26" s="169" t="s">
        <v>769</v>
      </c>
      <c r="C26" s="955" t="s">
        <v>1642</v>
      </c>
      <c r="D26" s="955"/>
      <c r="G26" s="946" t="s">
        <v>2824</v>
      </c>
      <c r="H26" s="946" t="s">
        <v>2825</v>
      </c>
    </row>
    <row r="27" spans="1:8" ht="15">
      <c r="A27" s="168" t="s">
        <v>772</v>
      </c>
      <c r="B27" s="169" t="s">
        <v>771</v>
      </c>
      <c r="C27" s="955" t="s">
        <v>1642</v>
      </c>
      <c r="D27" s="955"/>
      <c r="G27" s="946" t="s">
        <v>2740</v>
      </c>
      <c r="H27" s="946" t="s">
        <v>2741</v>
      </c>
    </row>
    <row r="28" spans="1:8" ht="15">
      <c r="A28" s="168" t="s">
        <v>774</v>
      </c>
      <c r="B28" s="169" t="s">
        <v>773</v>
      </c>
      <c r="C28" s="955" t="s">
        <v>1642</v>
      </c>
      <c r="D28" s="955"/>
      <c r="G28" s="946" t="s">
        <v>2589</v>
      </c>
      <c r="H28" s="946" t="s">
        <v>2590</v>
      </c>
    </row>
    <row r="29" spans="1:8" ht="15">
      <c r="A29" s="168" t="s">
        <v>776</v>
      </c>
      <c r="B29" s="169" t="s">
        <v>775</v>
      </c>
      <c r="C29" s="955" t="s">
        <v>1642</v>
      </c>
      <c r="D29" s="955"/>
      <c r="G29" s="946" t="s">
        <v>2763</v>
      </c>
      <c r="H29" s="946" t="s">
        <v>2764</v>
      </c>
    </row>
    <row r="30" spans="1:8" ht="15">
      <c r="A30" s="168" t="s">
        <v>778</v>
      </c>
      <c r="B30" s="169" t="s">
        <v>777</v>
      </c>
      <c r="C30" s="955" t="s">
        <v>1642</v>
      </c>
      <c r="D30" s="955"/>
      <c r="G30" s="946" t="s">
        <v>2140</v>
      </c>
      <c r="H30" s="946" t="s">
        <v>2141</v>
      </c>
    </row>
    <row r="31" spans="1:8" ht="15">
      <c r="A31" s="168" t="s">
        <v>780</v>
      </c>
      <c r="B31" s="169" t="s">
        <v>779</v>
      </c>
      <c r="C31" s="955" t="s">
        <v>1642</v>
      </c>
      <c r="D31" s="955"/>
      <c r="G31" s="946" t="s">
        <v>2691</v>
      </c>
      <c r="H31" s="946" t="s">
        <v>2692</v>
      </c>
    </row>
    <row r="32" spans="1:8" ht="15">
      <c r="A32" s="168" t="s">
        <v>782</v>
      </c>
      <c r="B32" s="169" t="s">
        <v>781</v>
      </c>
      <c r="C32" s="955" t="s">
        <v>1642</v>
      </c>
      <c r="D32" s="955"/>
      <c r="G32" s="946" t="s">
        <v>2104</v>
      </c>
      <c r="H32" s="946" t="s">
        <v>2105</v>
      </c>
    </row>
    <row r="33" spans="1:8" ht="15">
      <c r="A33" s="168" t="s">
        <v>784</v>
      </c>
      <c r="B33" s="169" t="s">
        <v>783</v>
      </c>
      <c r="C33" s="955" t="s">
        <v>1642</v>
      </c>
      <c r="D33" s="955"/>
      <c r="G33" s="946" t="s">
        <v>2130</v>
      </c>
      <c r="H33" s="946" t="s">
        <v>2131</v>
      </c>
    </row>
    <row r="34" spans="1:8" ht="15">
      <c r="A34" s="166" t="s">
        <v>552</v>
      </c>
      <c r="B34" s="166" t="s">
        <v>551</v>
      </c>
      <c r="C34" s="955" t="s">
        <v>1646</v>
      </c>
      <c r="D34" s="955"/>
      <c r="G34" s="946" t="s">
        <v>2806</v>
      </c>
      <c r="H34" s="946" t="s">
        <v>2807</v>
      </c>
    </row>
    <row r="35" spans="1:8" ht="15">
      <c r="A35" s="166" t="s">
        <v>554</v>
      </c>
      <c r="B35" s="166" t="s">
        <v>553</v>
      </c>
      <c r="C35" s="955" t="s">
        <v>1646</v>
      </c>
      <c r="D35" s="955"/>
      <c r="G35" s="946" t="s">
        <v>2394</v>
      </c>
      <c r="H35" s="946" t="s">
        <v>2395</v>
      </c>
    </row>
    <row r="36" spans="1:8" ht="15">
      <c r="A36" s="166" t="s">
        <v>556</v>
      </c>
      <c r="B36" s="166" t="s">
        <v>555</v>
      </c>
      <c r="C36" s="955" t="s">
        <v>1646</v>
      </c>
      <c r="D36" s="955"/>
      <c r="G36" s="946" t="s">
        <v>2642</v>
      </c>
      <c r="H36" s="946" t="s">
        <v>2643</v>
      </c>
    </row>
    <row r="37" spans="1:8" ht="15">
      <c r="A37" s="168" t="s">
        <v>558</v>
      </c>
      <c r="B37" s="169" t="s">
        <v>557</v>
      </c>
      <c r="C37" s="955" t="s">
        <v>1646</v>
      </c>
      <c r="D37" s="955"/>
      <c r="G37" s="946" t="s">
        <v>2152</v>
      </c>
      <c r="H37" s="946" t="s">
        <v>2153</v>
      </c>
    </row>
    <row r="38" spans="1:8" ht="15">
      <c r="A38" s="168" t="s">
        <v>560</v>
      </c>
      <c r="B38" s="169" t="s">
        <v>559</v>
      </c>
      <c r="C38" s="955" t="s">
        <v>1646</v>
      </c>
      <c r="D38" s="955"/>
      <c r="G38" s="946" t="s">
        <v>2396</v>
      </c>
      <c r="H38" s="946" t="s">
        <v>2397</v>
      </c>
    </row>
    <row r="39" spans="1:8" ht="15">
      <c r="A39" s="168" t="s">
        <v>562</v>
      </c>
      <c r="B39" s="169" t="s">
        <v>561</v>
      </c>
      <c r="C39" s="955" t="s">
        <v>1646</v>
      </c>
      <c r="D39" s="955"/>
      <c r="G39" s="946" t="s">
        <v>2124</v>
      </c>
      <c r="H39" s="946" t="s">
        <v>2125</v>
      </c>
    </row>
    <row r="40" spans="1:8" ht="15">
      <c r="A40" s="168" t="s">
        <v>564</v>
      </c>
      <c r="B40" s="169" t="s">
        <v>563</v>
      </c>
      <c r="C40" s="955" t="s">
        <v>1646</v>
      </c>
      <c r="D40" s="955"/>
      <c r="G40" s="946" t="s">
        <v>2605</v>
      </c>
      <c r="H40" s="946" t="s">
        <v>2606</v>
      </c>
    </row>
    <row r="41" spans="1:8" ht="15">
      <c r="A41" s="168" t="s">
        <v>566</v>
      </c>
      <c r="B41" s="169" t="s">
        <v>565</v>
      </c>
      <c r="C41" s="955" t="s">
        <v>1646</v>
      </c>
      <c r="D41" s="955"/>
      <c r="G41" s="946" t="s">
        <v>2181</v>
      </c>
      <c r="H41" s="946" t="s">
        <v>2182</v>
      </c>
    </row>
    <row r="42" spans="1:8" ht="15">
      <c r="A42" s="168" t="s">
        <v>600</v>
      </c>
      <c r="B42" s="169" t="s">
        <v>599</v>
      </c>
      <c r="C42" s="955" t="s">
        <v>155</v>
      </c>
      <c r="D42" s="955"/>
      <c r="G42" s="946" t="s">
        <v>2199</v>
      </c>
      <c r="H42" s="946" t="s">
        <v>2200</v>
      </c>
    </row>
    <row r="43" spans="1:8" ht="15">
      <c r="A43" s="168" t="s">
        <v>602</v>
      </c>
      <c r="B43" s="169" t="s">
        <v>601</v>
      </c>
      <c r="C43" s="955" t="s">
        <v>155</v>
      </c>
      <c r="D43" s="955"/>
      <c r="G43" s="946" t="s">
        <v>2398</v>
      </c>
      <c r="H43" s="946" t="s">
        <v>2399</v>
      </c>
    </row>
    <row r="44" spans="1:8" ht="15">
      <c r="A44" s="168" t="s">
        <v>604</v>
      </c>
      <c r="B44" s="169" t="s">
        <v>603</v>
      </c>
      <c r="C44" s="955" t="s">
        <v>155</v>
      </c>
      <c r="D44" s="955"/>
      <c r="G44" s="946" t="s">
        <v>2682</v>
      </c>
      <c r="H44" s="946" t="s">
        <v>2683</v>
      </c>
    </row>
    <row r="45" spans="1:8" ht="15">
      <c r="A45" s="168" t="s">
        <v>606</v>
      </c>
      <c r="B45" s="169" t="s">
        <v>605</v>
      </c>
      <c r="C45" s="955" t="s">
        <v>1646</v>
      </c>
      <c r="D45" s="955" t="s">
        <v>159</v>
      </c>
      <c r="G45" s="946" t="s">
        <v>2785</v>
      </c>
      <c r="H45" s="946" t="s">
        <v>2786</v>
      </c>
    </row>
    <row r="46" spans="1:8" ht="15">
      <c r="A46" s="168" t="s">
        <v>608</v>
      </c>
      <c r="B46" s="169" t="s">
        <v>607</v>
      </c>
      <c r="C46" s="955" t="s">
        <v>1646</v>
      </c>
      <c r="D46" s="955" t="s">
        <v>161</v>
      </c>
      <c r="G46" s="946" t="s">
        <v>2201</v>
      </c>
      <c r="H46" s="946" t="s">
        <v>2202</v>
      </c>
    </row>
    <row r="47" spans="1:8" ht="15">
      <c r="A47" s="168" t="s">
        <v>610</v>
      </c>
      <c r="B47" s="169" t="s">
        <v>609</v>
      </c>
      <c r="C47" s="955" t="s">
        <v>155</v>
      </c>
      <c r="D47" s="955" t="s">
        <v>162</v>
      </c>
      <c r="G47" s="946" t="s">
        <v>2186</v>
      </c>
      <c r="H47" s="946" t="s">
        <v>2187</v>
      </c>
    </row>
    <row r="48" spans="1:8" ht="15">
      <c r="A48" s="168" t="s">
        <v>612</v>
      </c>
      <c r="B48" s="169" t="s">
        <v>611</v>
      </c>
      <c r="C48" s="955" t="s">
        <v>171</v>
      </c>
      <c r="D48" s="955" t="s">
        <v>173</v>
      </c>
      <c r="G48" s="946" t="s">
        <v>2122</v>
      </c>
      <c r="H48" s="946" t="s">
        <v>2123</v>
      </c>
    </row>
    <row r="49" spans="1:8" ht="15">
      <c r="A49" s="168" t="s">
        <v>614</v>
      </c>
      <c r="B49" s="169" t="s">
        <v>613</v>
      </c>
      <c r="C49" s="955" t="s">
        <v>155</v>
      </c>
      <c r="D49" s="955"/>
      <c r="G49" s="946" t="s">
        <v>2116</v>
      </c>
      <c r="H49" s="946" t="s">
        <v>2117</v>
      </c>
    </row>
    <row r="50" spans="1:8" ht="15">
      <c r="A50" s="168" t="s">
        <v>616</v>
      </c>
      <c r="B50" s="169" t="s">
        <v>615</v>
      </c>
      <c r="C50" s="955" t="s">
        <v>1646</v>
      </c>
      <c r="D50" s="955"/>
      <c r="G50" s="946" t="s">
        <v>2142</v>
      </c>
      <c r="H50" s="946" t="s">
        <v>2143</v>
      </c>
    </row>
    <row r="51" spans="1:8" ht="15">
      <c r="A51" s="168" t="s">
        <v>618</v>
      </c>
      <c r="B51" s="169" t="s">
        <v>617</v>
      </c>
      <c r="C51" s="955" t="s">
        <v>1642</v>
      </c>
      <c r="D51" s="955"/>
      <c r="G51" s="946" t="s">
        <v>2177</v>
      </c>
      <c r="H51" s="946" t="s">
        <v>2178</v>
      </c>
    </row>
    <row r="52" spans="1:8" ht="15">
      <c r="A52" s="168" t="s">
        <v>620</v>
      </c>
      <c r="B52" s="169" t="s">
        <v>619</v>
      </c>
      <c r="C52" s="955" t="s">
        <v>1642</v>
      </c>
      <c r="D52" s="955"/>
      <c r="G52" s="946" t="s">
        <v>2803</v>
      </c>
      <c r="H52" s="946" t="s">
        <v>2804</v>
      </c>
    </row>
    <row r="53" spans="1:8" ht="15">
      <c r="A53" s="168" t="s">
        <v>622</v>
      </c>
      <c r="B53" s="169" t="s">
        <v>621</v>
      </c>
      <c r="C53" s="955" t="s">
        <v>1646</v>
      </c>
      <c r="D53" s="955"/>
      <c r="G53" s="946" t="s">
        <v>478</v>
      </c>
      <c r="H53" s="946" t="s">
        <v>2129</v>
      </c>
    </row>
    <row r="54" spans="1:8" ht="15">
      <c r="A54" s="168" t="s">
        <v>624</v>
      </c>
      <c r="B54" s="169" t="s">
        <v>623</v>
      </c>
      <c r="C54" s="955" t="s">
        <v>1642</v>
      </c>
      <c r="D54" s="955"/>
      <c r="G54" s="946" t="s">
        <v>2576</v>
      </c>
      <c r="H54" s="946" t="s">
        <v>2577</v>
      </c>
    </row>
    <row r="55" spans="1:8" ht="15">
      <c r="A55" s="168" t="s">
        <v>626</v>
      </c>
      <c r="B55" s="169" t="s">
        <v>625</v>
      </c>
      <c r="C55" s="955" t="s">
        <v>1642</v>
      </c>
      <c r="D55" s="955"/>
      <c r="G55" s="946" t="s">
        <v>2574</v>
      </c>
      <c r="H55" s="946" t="s">
        <v>2575</v>
      </c>
    </row>
    <row r="56" spans="1:8" ht="15">
      <c r="A56" s="168" t="s">
        <v>628</v>
      </c>
      <c r="B56" s="169" t="s">
        <v>627</v>
      </c>
      <c r="C56" s="955" t="s">
        <v>1646</v>
      </c>
      <c r="D56" s="955"/>
      <c r="G56" s="946" t="s">
        <v>2400</v>
      </c>
      <c r="H56" s="946" t="s">
        <v>2401</v>
      </c>
    </row>
    <row r="57" spans="1:8" ht="15">
      <c r="A57" s="168" t="s">
        <v>630</v>
      </c>
      <c r="B57" s="169" t="s">
        <v>629</v>
      </c>
      <c r="C57" s="955" t="s">
        <v>1642</v>
      </c>
      <c r="D57" s="955"/>
      <c r="G57" s="946" t="s">
        <v>2156</v>
      </c>
      <c r="H57" s="946" t="s">
        <v>2157</v>
      </c>
    </row>
    <row r="58" spans="1:8" ht="15">
      <c r="A58" s="168" t="s">
        <v>632</v>
      </c>
      <c r="B58" s="169" t="s">
        <v>631</v>
      </c>
      <c r="C58" s="955" t="s">
        <v>144</v>
      </c>
      <c r="D58" s="955"/>
      <c r="G58" s="946" t="s">
        <v>2402</v>
      </c>
      <c r="H58" s="946" t="s">
        <v>2403</v>
      </c>
    </row>
    <row r="59" spans="1:8" ht="15">
      <c r="A59" s="168" t="s">
        <v>634</v>
      </c>
      <c r="B59" s="169" t="s">
        <v>633</v>
      </c>
      <c r="C59" s="955" t="s">
        <v>144</v>
      </c>
      <c r="D59" s="955"/>
      <c r="G59" s="946" t="s">
        <v>2126</v>
      </c>
      <c r="H59" s="946" t="s">
        <v>2127</v>
      </c>
    </row>
    <row r="60" spans="1:8" ht="15">
      <c r="A60" s="168" t="s">
        <v>636</v>
      </c>
      <c r="B60" s="169" t="s">
        <v>635</v>
      </c>
      <c r="C60" s="955" t="s">
        <v>1646</v>
      </c>
      <c r="D60" s="955"/>
      <c r="G60" s="946" t="s">
        <v>2404</v>
      </c>
      <c r="H60" s="946" t="s">
        <v>2405</v>
      </c>
    </row>
    <row r="61" spans="1:8" ht="15">
      <c r="A61" s="168" t="s">
        <v>638</v>
      </c>
      <c r="B61" s="169" t="s">
        <v>637</v>
      </c>
      <c r="C61" s="955" t="s">
        <v>1646</v>
      </c>
      <c r="D61" s="955"/>
      <c r="G61" s="946" t="s">
        <v>2197</v>
      </c>
      <c r="H61" s="946" t="s">
        <v>2198</v>
      </c>
    </row>
    <row r="62" spans="1:8" ht="15">
      <c r="A62" s="168" t="s">
        <v>640</v>
      </c>
      <c r="B62" s="169" t="s">
        <v>639</v>
      </c>
      <c r="C62" s="955" t="s">
        <v>75</v>
      </c>
      <c r="D62" s="955" t="s">
        <v>181</v>
      </c>
      <c r="G62" s="946" t="s">
        <v>2406</v>
      </c>
      <c r="H62" s="946" t="s">
        <v>2407</v>
      </c>
    </row>
    <row r="63" spans="1:8" ht="15">
      <c r="A63" s="168" t="s">
        <v>642</v>
      </c>
      <c r="B63" s="169" t="s">
        <v>641</v>
      </c>
      <c r="C63" s="955" t="s">
        <v>75</v>
      </c>
      <c r="D63" s="955" t="s">
        <v>181</v>
      </c>
      <c r="G63" s="946" t="s">
        <v>2570</v>
      </c>
      <c r="H63" s="946" t="s">
        <v>2571</v>
      </c>
    </row>
    <row r="64" spans="1:8" ht="15">
      <c r="A64" s="168" t="s">
        <v>644</v>
      </c>
      <c r="B64" s="169" t="s">
        <v>643</v>
      </c>
      <c r="C64" s="955" t="s">
        <v>75</v>
      </c>
      <c r="D64" s="955" t="s">
        <v>181</v>
      </c>
      <c r="G64" s="946" t="s">
        <v>2408</v>
      </c>
      <c r="H64" s="946" t="s">
        <v>2409</v>
      </c>
    </row>
    <row r="65" spans="1:8" ht="15">
      <c r="A65" s="168" t="s">
        <v>646</v>
      </c>
      <c r="B65" s="169" t="s">
        <v>645</v>
      </c>
      <c r="C65" s="955" t="s">
        <v>75</v>
      </c>
      <c r="D65" s="955" t="s">
        <v>181</v>
      </c>
      <c r="G65" s="946" t="s">
        <v>2163</v>
      </c>
      <c r="H65" s="946" t="s">
        <v>2164</v>
      </c>
    </row>
    <row r="66" spans="1:8" ht="15">
      <c r="A66" s="168" t="s">
        <v>648</v>
      </c>
      <c r="B66" s="169" t="s">
        <v>647</v>
      </c>
      <c r="C66" s="955" t="s">
        <v>75</v>
      </c>
      <c r="D66" s="955" t="s">
        <v>181</v>
      </c>
      <c r="G66" s="946" t="s">
        <v>2410</v>
      </c>
      <c r="H66" s="946" t="s">
        <v>2411</v>
      </c>
    </row>
    <row r="67" spans="1:8" ht="15">
      <c r="A67" s="168" t="s">
        <v>650</v>
      </c>
      <c r="B67" s="169" t="s">
        <v>649</v>
      </c>
      <c r="C67" s="955" t="s">
        <v>75</v>
      </c>
      <c r="D67" s="955" t="s">
        <v>181</v>
      </c>
      <c r="G67" s="946" t="s">
        <v>2412</v>
      </c>
      <c r="H67" s="946" t="s">
        <v>2413</v>
      </c>
    </row>
    <row r="68" spans="1:8" ht="15">
      <c r="A68" s="168" t="s">
        <v>652</v>
      </c>
      <c r="B68" s="169" t="s">
        <v>651</v>
      </c>
      <c r="C68" s="955" t="s">
        <v>75</v>
      </c>
      <c r="D68" s="955" t="s">
        <v>181</v>
      </c>
      <c r="G68" s="946" t="s">
        <v>2568</v>
      </c>
      <c r="H68" s="946" t="s">
        <v>2569</v>
      </c>
    </row>
    <row r="69" spans="1:8" ht="15">
      <c r="A69" s="168" t="s">
        <v>654</v>
      </c>
      <c r="B69" s="169" t="s">
        <v>653</v>
      </c>
      <c r="C69" s="955" t="s">
        <v>75</v>
      </c>
      <c r="D69" s="955" t="s">
        <v>181</v>
      </c>
      <c r="G69" s="946" t="s">
        <v>2154</v>
      </c>
      <c r="H69" s="946" t="s">
        <v>2155</v>
      </c>
    </row>
    <row r="70" spans="1:8" ht="15">
      <c r="A70" s="168" t="s">
        <v>656</v>
      </c>
      <c r="B70" s="169" t="s">
        <v>655</v>
      </c>
      <c r="C70" s="955" t="s">
        <v>144</v>
      </c>
      <c r="D70" s="955" t="s">
        <v>181</v>
      </c>
      <c r="G70" s="946" t="s">
        <v>822</v>
      </c>
      <c r="H70" s="946" t="s">
        <v>2414</v>
      </c>
    </row>
    <row r="71" spans="1:8" ht="15">
      <c r="A71" s="168" t="s">
        <v>658</v>
      </c>
      <c r="B71" s="169" t="s">
        <v>657</v>
      </c>
      <c r="C71" s="955" t="s">
        <v>144</v>
      </c>
      <c r="D71" s="955" t="s">
        <v>181</v>
      </c>
      <c r="G71" s="946" t="s">
        <v>2195</v>
      </c>
      <c r="H71" s="946" t="s">
        <v>2196</v>
      </c>
    </row>
    <row r="72" spans="1:8" ht="15">
      <c r="A72" s="168" t="s">
        <v>660</v>
      </c>
      <c r="B72" s="169" t="s">
        <v>659</v>
      </c>
      <c r="C72" s="955" t="s">
        <v>144</v>
      </c>
      <c r="D72" s="955" t="s">
        <v>181</v>
      </c>
      <c r="G72" s="946" t="s">
        <v>2415</v>
      </c>
      <c r="H72" s="946" t="s">
        <v>2416</v>
      </c>
    </row>
    <row r="73" spans="1:8" ht="15">
      <c r="A73" s="168" t="s">
        <v>662</v>
      </c>
      <c r="B73" s="169" t="s">
        <v>661</v>
      </c>
      <c r="C73" s="955" t="s">
        <v>144</v>
      </c>
      <c r="D73" s="955" t="s">
        <v>181</v>
      </c>
      <c r="G73" s="946" t="s">
        <v>2752</v>
      </c>
      <c r="H73" s="946" t="s">
        <v>2753</v>
      </c>
    </row>
    <row r="74" spans="1:8" ht="15">
      <c r="A74" s="168" t="s">
        <v>664</v>
      </c>
      <c r="B74" s="169" t="s">
        <v>663</v>
      </c>
      <c r="C74" s="955" t="s">
        <v>144</v>
      </c>
      <c r="D74" s="955" t="s">
        <v>181</v>
      </c>
      <c r="G74" s="946" t="s">
        <v>2208</v>
      </c>
      <c r="H74" s="946" t="s">
        <v>2209</v>
      </c>
    </row>
    <row r="75" spans="1:8" ht="15">
      <c r="A75" s="168" t="s">
        <v>666</v>
      </c>
      <c r="B75" s="169" t="s">
        <v>665</v>
      </c>
      <c r="C75" s="955" t="s">
        <v>144</v>
      </c>
      <c r="D75" s="955" t="s">
        <v>181</v>
      </c>
      <c r="G75" s="946" t="s">
        <v>2846</v>
      </c>
      <c r="H75" s="946" t="s">
        <v>2847</v>
      </c>
    </row>
    <row r="76" spans="1:8" ht="15">
      <c r="A76" s="168" t="s">
        <v>668</v>
      </c>
      <c r="B76" s="169" t="s">
        <v>667</v>
      </c>
      <c r="C76" s="955" t="s">
        <v>144</v>
      </c>
      <c r="D76" s="955" t="s">
        <v>181</v>
      </c>
      <c r="G76" s="946" t="s">
        <v>2036</v>
      </c>
      <c r="H76" s="946" t="s">
        <v>2037</v>
      </c>
    </row>
    <row r="77" spans="1:8" ht="15">
      <c r="A77" s="168" t="s">
        <v>670</v>
      </c>
      <c r="B77" s="169" t="s">
        <v>669</v>
      </c>
      <c r="C77" s="955" t="s">
        <v>144</v>
      </c>
      <c r="D77" s="955" t="s">
        <v>181</v>
      </c>
      <c r="G77" s="946" t="s">
        <v>2417</v>
      </c>
      <c r="H77" s="946" t="s">
        <v>2418</v>
      </c>
    </row>
    <row r="78" spans="1:8" ht="15">
      <c r="A78" s="169" t="s">
        <v>672</v>
      </c>
      <c r="B78" s="169" t="s">
        <v>671</v>
      </c>
      <c r="C78" s="955" t="s">
        <v>75</v>
      </c>
      <c r="D78" s="955" t="s">
        <v>1738</v>
      </c>
      <c r="G78" s="946" t="s">
        <v>2203</v>
      </c>
      <c r="H78" s="946" t="s">
        <v>2204</v>
      </c>
    </row>
    <row r="79" spans="1:8" ht="15">
      <c r="A79" s="169" t="s">
        <v>674</v>
      </c>
      <c r="B79" s="169" t="s">
        <v>673</v>
      </c>
      <c r="C79" s="955" t="s">
        <v>75</v>
      </c>
      <c r="D79" s="955" t="s">
        <v>1738</v>
      </c>
      <c r="G79" s="946" t="s">
        <v>2056</v>
      </c>
      <c r="H79" s="946" t="s">
        <v>2057</v>
      </c>
    </row>
    <row r="80" spans="1:8" ht="15">
      <c r="A80" s="169" t="s">
        <v>676</v>
      </c>
      <c r="B80" s="169" t="s">
        <v>675</v>
      </c>
      <c r="C80" s="955" t="s">
        <v>75</v>
      </c>
      <c r="D80" s="955" t="s">
        <v>1738</v>
      </c>
      <c r="G80" s="946" t="s">
        <v>2796</v>
      </c>
      <c r="H80" s="946" t="s">
        <v>2797</v>
      </c>
    </row>
    <row r="81" spans="1:8" ht="15">
      <c r="A81" s="169" t="s">
        <v>678</v>
      </c>
      <c r="B81" s="169" t="s">
        <v>677</v>
      </c>
      <c r="C81" s="955" t="s">
        <v>75</v>
      </c>
      <c r="D81" s="955" t="s">
        <v>1738</v>
      </c>
      <c r="G81" s="946" t="s">
        <v>2813</v>
      </c>
      <c r="H81" s="946" t="s">
        <v>2066</v>
      </c>
    </row>
    <row r="82" spans="1:8" ht="15">
      <c r="A82" s="169" t="s">
        <v>680</v>
      </c>
      <c r="B82" s="169" t="s">
        <v>679</v>
      </c>
      <c r="C82" s="955" t="s">
        <v>75</v>
      </c>
      <c r="D82" s="955" t="s">
        <v>1738</v>
      </c>
      <c r="G82" s="946" t="s">
        <v>2064</v>
      </c>
      <c r="H82" s="946" t="s">
        <v>2065</v>
      </c>
    </row>
    <row r="83" spans="1:8" ht="15">
      <c r="A83" s="169" t="s">
        <v>682</v>
      </c>
      <c r="B83" s="169" t="s">
        <v>681</v>
      </c>
      <c r="C83" s="955" t="s">
        <v>75</v>
      </c>
      <c r="D83" s="955" t="s">
        <v>1738</v>
      </c>
      <c r="G83" s="946" t="s">
        <v>2616</v>
      </c>
      <c r="H83" s="946" t="s">
        <v>2617</v>
      </c>
    </row>
    <row r="84" spans="1:8" ht="15">
      <c r="A84" s="169" t="s">
        <v>684</v>
      </c>
      <c r="B84" s="169" t="s">
        <v>683</v>
      </c>
      <c r="C84" s="955" t="s">
        <v>75</v>
      </c>
      <c r="D84" s="955" t="s">
        <v>1738</v>
      </c>
      <c r="G84" s="946" t="s">
        <v>2818</v>
      </c>
      <c r="H84" s="946" t="s">
        <v>2819</v>
      </c>
    </row>
    <row r="85" spans="1:8" ht="15">
      <c r="A85" s="169" t="s">
        <v>686</v>
      </c>
      <c r="B85" s="169" t="s">
        <v>685</v>
      </c>
      <c r="C85" s="955" t="s">
        <v>75</v>
      </c>
      <c r="D85" s="955" t="s">
        <v>1738</v>
      </c>
      <c r="G85" s="946" t="s">
        <v>2173</v>
      </c>
      <c r="H85" s="946" t="s">
        <v>2134</v>
      </c>
    </row>
    <row r="86" spans="1:8" ht="15">
      <c r="A86" s="168" t="s">
        <v>688</v>
      </c>
      <c r="B86" s="169" t="s">
        <v>687</v>
      </c>
      <c r="C86" s="955" t="s">
        <v>75</v>
      </c>
      <c r="D86" s="955"/>
      <c r="G86" s="946" t="s">
        <v>2772</v>
      </c>
      <c r="H86" s="946" t="s">
        <v>2773</v>
      </c>
    </row>
    <row r="87" spans="1:8" ht="15">
      <c r="A87" s="168" t="s">
        <v>690</v>
      </c>
      <c r="B87" s="169" t="s">
        <v>689</v>
      </c>
      <c r="C87" s="955" t="s">
        <v>144</v>
      </c>
      <c r="D87" s="955"/>
      <c r="G87" s="946" t="s">
        <v>2746</v>
      </c>
      <c r="H87" s="946" t="s">
        <v>2747</v>
      </c>
    </row>
    <row r="88" spans="1:8" ht="15">
      <c r="A88" s="168" t="s">
        <v>692</v>
      </c>
      <c r="B88" s="169" t="s">
        <v>691</v>
      </c>
      <c r="C88" s="955" t="s">
        <v>155</v>
      </c>
      <c r="D88" s="955"/>
      <c r="G88" s="946" t="s">
        <v>2228</v>
      </c>
      <c r="H88" s="946" t="s">
        <v>2229</v>
      </c>
    </row>
    <row r="89" spans="1:8" ht="15">
      <c r="A89" s="168" t="s">
        <v>694</v>
      </c>
      <c r="B89" s="169" t="s">
        <v>693</v>
      </c>
      <c r="C89" s="955" t="s">
        <v>171</v>
      </c>
      <c r="D89" s="955"/>
      <c r="G89" s="946" t="s">
        <v>2009</v>
      </c>
      <c r="H89" s="946" t="s">
        <v>2010</v>
      </c>
    </row>
    <row r="90" spans="1:8" ht="15">
      <c r="A90" s="168" t="s">
        <v>696</v>
      </c>
      <c r="B90" s="169" t="s">
        <v>695</v>
      </c>
      <c r="C90" s="955" t="s">
        <v>175</v>
      </c>
      <c r="D90" s="955"/>
      <c r="G90" s="946" t="s">
        <v>2049</v>
      </c>
      <c r="H90" s="946" t="s">
        <v>2050</v>
      </c>
    </row>
    <row r="91" spans="1:8" ht="15">
      <c r="A91" s="168" t="s">
        <v>698</v>
      </c>
      <c r="B91" s="169" t="s">
        <v>697</v>
      </c>
      <c r="C91" s="955" t="s">
        <v>75</v>
      </c>
      <c r="D91" s="955"/>
      <c r="G91" s="946" t="s">
        <v>2132</v>
      </c>
      <c r="H91" s="946" t="s">
        <v>2133</v>
      </c>
    </row>
    <row r="92" spans="1:8" ht="15">
      <c r="A92" s="168" t="s">
        <v>700</v>
      </c>
      <c r="B92" s="169" t="s">
        <v>699</v>
      </c>
      <c r="C92" s="955" t="s">
        <v>144</v>
      </c>
      <c r="D92" s="955"/>
      <c r="G92" s="946" t="s">
        <v>2419</v>
      </c>
      <c r="H92" s="946" t="s">
        <v>2420</v>
      </c>
    </row>
    <row r="93" spans="1:8" ht="15">
      <c r="A93" s="168" t="s">
        <v>702</v>
      </c>
      <c r="B93" s="169" t="s">
        <v>701</v>
      </c>
      <c r="C93" s="955" t="s">
        <v>155</v>
      </c>
      <c r="D93" s="955"/>
      <c r="G93" s="946" t="s">
        <v>2146</v>
      </c>
      <c r="H93" s="946" t="s">
        <v>2147</v>
      </c>
    </row>
    <row r="94" spans="1:8" ht="15">
      <c r="A94" s="168" t="s">
        <v>704</v>
      </c>
      <c r="B94" s="169" t="s">
        <v>703</v>
      </c>
      <c r="C94" s="955" t="s">
        <v>175</v>
      </c>
      <c r="D94" s="955"/>
      <c r="G94" s="946" t="s">
        <v>2231</v>
      </c>
      <c r="H94" s="946" t="s">
        <v>2232</v>
      </c>
    </row>
    <row r="95" spans="1:8" ht="15">
      <c r="A95" s="168" t="s">
        <v>706</v>
      </c>
      <c r="B95" s="169" t="s">
        <v>705</v>
      </c>
      <c r="C95" s="955" t="s">
        <v>144</v>
      </c>
      <c r="D95" s="955"/>
      <c r="G95" s="946" t="s">
        <v>2710</v>
      </c>
      <c r="H95" s="946" t="s">
        <v>2162</v>
      </c>
    </row>
    <row r="96" spans="1:8" ht="15">
      <c r="A96" s="168" t="s">
        <v>708</v>
      </c>
      <c r="B96" s="169" t="s">
        <v>707</v>
      </c>
      <c r="C96" s="955" t="s">
        <v>75</v>
      </c>
      <c r="D96" s="955" t="s">
        <v>163</v>
      </c>
      <c r="G96" s="946" t="s">
        <v>2160</v>
      </c>
      <c r="H96" s="946" t="s">
        <v>2161</v>
      </c>
    </row>
    <row r="97" spans="1:8" ht="15">
      <c r="A97" s="168" t="s">
        <v>710</v>
      </c>
      <c r="B97" s="169" t="s">
        <v>709</v>
      </c>
      <c r="C97" s="955" t="s">
        <v>75</v>
      </c>
      <c r="D97" s="955"/>
      <c r="G97" s="946" t="s">
        <v>2233</v>
      </c>
      <c r="H97" s="946" t="s">
        <v>2234</v>
      </c>
    </row>
    <row r="98" spans="1:8" ht="15">
      <c r="A98" s="168" t="s">
        <v>712</v>
      </c>
      <c r="B98" s="169" t="s">
        <v>711</v>
      </c>
      <c r="C98" s="955" t="s">
        <v>144</v>
      </c>
      <c r="D98" s="955"/>
      <c r="G98" s="946" t="s">
        <v>2749</v>
      </c>
      <c r="H98" s="946" t="s">
        <v>2750</v>
      </c>
    </row>
    <row r="99" spans="1:8" ht="15">
      <c r="A99" s="168" t="s">
        <v>714</v>
      </c>
      <c r="B99" s="169" t="s">
        <v>713</v>
      </c>
      <c r="C99" s="955" t="s">
        <v>75</v>
      </c>
      <c r="D99" s="955"/>
      <c r="G99" s="946" t="s">
        <v>2582</v>
      </c>
      <c r="H99" s="946" t="s">
        <v>2583</v>
      </c>
    </row>
    <row r="100" spans="1:8" ht="15">
      <c r="A100" s="168" t="s">
        <v>716</v>
      </c>
      <c r="B100" s="169" t="s">
        <v>715</v>
      </c>
      <c r="C100" s="955" t="s">
        <v>144</v>
      </c>
      <c r="D100" s="955"/>
      <c r="G100" s="946" t="s">
        <v>536</v>
      </c>
      <c r="H100" s="946" t="s">
        <v>2185</v>
      </c>
    </row>
    <row r="101" spans="1:8" ht="15">
      <c r="A101" s="168" t="s">
        <v>718</v>
      </c>
      <c r="B101" s="169" t="s">
        <v>717</v>
      </c>
      <c r="C101" s="955" t="s">
        <v>155</v>
      </c>
      <c r="D101" s="955"/>
      <c r="G101" s="946" t="s">
        <v>2235</v>
      </c>
      <c r="H101" s="946" t="s">
        <v>2236</v>
      </c>
    </row>
    <row r="102" spans="1:8" ht="15">
      <c r="A102" s="168" t="s">
        <v>720</v>
      </c>
      <c r="B102" s="169" t="s">
        <v>719</v>
      </c>
      <c r="C102" s="955" t="s">
        <v>175</v>
      </c>
      <c r="D102" s="955"/>
      <c r="G102" s="946" t="s">
        <v>2237</v>
      </c>
      <c r="H102" s="946" t="s">
        <v>2238</v>
      </c>
    </row>
    <row r="103" spans="1:8" ht="15">
      <c r="A103" s="168" t="s">
        <v>722</v>
      </c>
      <c r="B103" s="169" t="s">
        <v>721</v>
      </c>
      <c r="C103" s="955" t="s">
        <v>75</v>
      </c>
      <c r="D103" s="955"/>
      <c r="G103" s="946" t="s">
        <v>2193</v>
      </c>
      <c r="H103" s="946" t="s">
        <v>2194</v>
      </c>
    </row>
    <row r="104" spans="1:8" ht="15">
      <c r="A104" s="168" t="s">
        <v>724</v>
      </c>
      <c r="B104" s="169" t="s">
        <v>723</v>
      </c>
      <c r="C104" s="955" t="s">
        <v>144</v>
      </c>
      <c r="D104" s="955"/>
      <c r="G104" s="946" t="s">
        <v>2239</v>
      </c>
      <c r="H104" s="946" t="s">
        <v>2240</v>
      </c>
    </row>
    <row r="105" spans="1:8" ht="15">
      <c r="A105" s="168" t="s">
        <v>726</v>
      </c>
      <c r="B105" s="169" t="s">
        <v>725</v>
      </c>
      <c r="C105" s="955" t="s">
        <v>155</v>
      </c>
      <c r="D105" s="955"/>
      <c r="G105" s="946" t="s">
        <v>2242</v>
      </c>
      <c r="H105" s="946" t="s">
        <v>2243</v>
      </c>
    </row>
    <row r="106" spans="1:8" ht="15">
      <c r="A106" s="168" t="s">
        <v>728</v>
      </c>
      <c r="B106" s="169" t="s">
        <v>727</v>
      </c>
      <c r="C106" s="955" t="s">
        <v>155</v>
      </c>
      <c r="D106" s="955" t="s">
        <v>163</v>
      </c>
      <c r="G106" s="946" t="s">
        <v>2244</v>
      </c>
      <c r="H106" s="946" t="s">
        <v>2245</v>
      </c>
    </row>
    <row r="107" spans="1:8" ht="15">
      <c r="A107" s="168" t="s">
        <v>730</v>
      </c>
      <c r="B107" s="169" t="s">
        <v>729</v>
      </c>
      <c r="C107" s="955" t="s">
        <v>155</v>
      </c>
      <c r="D107" s="955"/>
      <c r="G107" s="946" t="s">
        <v>2246</v>
      </c>
      <c r="H107" s="946" t="s">
        <v>2247</v>
      </c>
    </row>
    <row r="108" spans="1:8" ht="15">
      <c r="A108" s="168" t="s">
        <v>732</v>
      </c>
      <c r="B108" s="169" t="s">
        <v>731</v>
      </c>
      <c r="C108" s="955" t="s">
        <v>75</v>
      </c>
      <c r="D108" s="955"/>
      <c r="G108" s="946" t="s">
        <v>2600</v>
      </c>
      <c r="H108" s="946" t="s">
        <v>2601</v>
      </c>
    </row>
    <row r="109" spans="1:8" ht="15">
      <c r="A109" s="168" t="s">
        <v>734</v>
      </c>
      <c r="B109" s="169" t="s">
        <v>733</v>
      </c>
      <c r="C109" s="955" t="s">
        <v>144</v>
      </c>
      <c r="D109" s="955"/>
      <c r="G109" s="946" t="s">
        <v>2058</v>
      </c>
      <c r="H109" s="946" t="s">
        <v>2059</v>
      </c>
    </row>
    <row r="110" spans="1:8" ht="15">
      <c r="A110" s="168" t="s">
        <v>736</v>
      </c>
      <c r="B110" s="169" t="s">
        <v>735</v>
      </c>
      <c r="C110" s="955" t="s">
        <v>155</v>
      </c>
      <c r="D110" s="955"/>
      <c r="G110" s="946" t="s">
        <v>2098</v>
      </c>
      <c r="H110" s="946" t="s">
        <v>2099</v>
      </c>
    </row>
    <row r="111" spans="1:8" ht="15">
      <c r="A111" s="168" t="s">
        <v>738</v>
      </c>
      <c r="B111" s="169" t="s">
        <v>737</v>
      </c>
      <c r="C111" s="955" t="s">
        <v>171</v>
      </c>
      <c r="D111" s="955"/>
      <c r="G111" s="946" t="s">
        <v>2421</v>
      </c>
      <c r="H111" s="946" t="s">
        <v>2422</v>
      </c>
    </row>
    <row r="112" spans="1:8" ht="15">
      <c r="A112" s="168" t="s">
        <v>740</v>
      </c>
      <c r="B112" s="169" t="s">
        <v>739</v>
      </c>
      <c r="C112" s="955" t="s">
        <v>175</v>
      </c>
      <c r="D112" s="955"/>
      <c r="G112" s="946" t="s">
        <v>2094</v>
      </c>
      <c r="H112" s="946" t="s">
        <v>2095</v>
      </c>
    </row>
    <row r="113" spans="1:8" ht="15">
      <c r="A113" s="168" t="s">
        <v>742</v>
      </c>
      <c r="B113" s="169" t="s">
        <v>741</v>
      </c>
      <c r="C113" s="955" t="s">
        <v>1646</v>
      </c>
      <c r="D113" s="955" t="s">
        <v>113</v>
      </c>
      <c r="G113" s="946" t="s">
        <v>2188</v>
      </c>
      <c r="H113" s="946" t="s">
        <v>2189</v>
      </c>
    </row>
    <row r="114" spans="1:8" ht="15">
      <c r="A114" s="168" t="s">
        <v>744</v>
      </c>
      <c r="B114" s="169" t="s">
        <v>743</v>
      </c>
      <c r="C114" s="955" t="s">
        <v>1646</v>
      </c>
      <c r="D114" s="955" t="s">
        <v>113</v>
      </c>
      <c r="G114" s="946" t="s">
        <v>2248</v>
      </c>
      <c r="H114" s="946" t="s">
        <v>2249</v>
      </c>
    </row>
    <row r="115" spans="1:8" ht="15">
      <c r="A115" s="168" t="s">
        <v>746</v>
      </c>
      <c r="B115" s="169" t="s">
        <v>745</v>
      </c>
      <c r="C115" s="955" t="s">
        <v>155</v>
      </c>
      <c r="D115" s="955" t="s">
        <v>113</v>
      </c>
      <c r="G115" s="946" t="s">
        <v>2250</v>
      </c>
      <c r="H115" s="946" t="s">
        <v>2251</v>
      </c>
    </row>
    <row r="116" spans="1:8" ht="15">
      <c r="A116" s="168" t="s">
        <v>748</v>
      </c>
      <c r="B116" s="169" t="s">
        <v>747</v>
      </c>
      <c r="C116" s="955" t="s">
        <v>171</v>
      </c>
      <c r="D116" s="955" t="s">
        <v>113</v>
      </c>
      <c r="G116" s="946" t="s">
        <v>2252</v>
      </c>
      <c r="H116" s="946" t="s">
        <v>2253</v>
      </c>
    </row>
    <row r="117" spans="1:8" ht="15">
      <c r="A117" s="168" t="s">
        <v>750</v>
      </c>
      <c r="B117" s="169" t="s">
        <v>749</v>
      </c>
      <c r="C117" s="955" t="s">
        <v>175</v>
      </c>
      <c r="D117" s="955" t="s">
        <v>113</v>
      </c>
      <c r="G117" s="946" t="s">
        <v>2254</v>
      </c>
      <c r="H117" s="946" t="s">
        <v>2255</v>
      </c>
    </row>
    <row r="118" spans="1:8" ht="15">
      <c r="A118" s="168" t="s">
        <v>752</v>
      </c>
      <c r="B118" s="169" t="s">
        <v>751</v>
      </c>
      <c r="C118" s="955" t="s">
        <v>175</v>
      </c>
      <c r="D118" s="955"/>
      <c r="G118" s="946" t="s">
        <v>2689</v>
      </c>
      <c r="H118" s="946" t="s">
        <v>2690</v>
      </c>
    </row>
    <row r="119" spans="1:8" ht="15">
      <c r="A119" s="168" t="s">
        <v>520</v>
      </c>
      <c r="B119" s="169" t="s">
        <v>1567</v>
      </c>
      <c r="C119" s="955" t="s">
        <v>1642</v>
      </c>
      <c r="D119" s="955" t="s">
        <v>8</v>
      </c>
      <c r="G119" s="946" t="s">
        <v>827</v>
      </c>
      <c r="H119" s="946" t="s">
        <v>2190</v>
      </c>
    </row>
    <row r="120" spans="1:8" ht="15">
      <c r="A120" s="168" t="s">
        <v>1144</v>
      </c>
      <c r="B120" s="169" t="s">
        <v>1143</v>
      </c>
      <c r="C120" s="955" t="s">
        <v>1642</v>
      </c>
      <c r="D120" s="955" t="s">
        <v>8</v>
      </c>
      <c r="G120" s="946" t="s">
        <v>2210</v>
      </c>
      <c r="H120" s="946" t="s">
        <v>2211</v>
      </c>
    </row>
    <row r="121" spans="1:8" ht="15">
      <c r="A121" s="168" t="s">
        <v>519</v>
      </c>
      <c r="B121" s="169" t="s">
        <v>518</v>
      </c>
      <c r="C121" s="955" t="s">
        <v>1642</v>
      </c>
      <c r="D121" s="955" t="s">
        <v>1924</v>
      </c>
      <c r="G121" s="946" t="s">
        <v>2256</v>
      </c>
      <c r="H121" s="946" t="s">
        <v>2257</v>
      </c>
    </row>
    <row r="122" spans="1:8" ht="15">
      <c r="A122" s="168" t="s">
        <v>786</v>
      </c>
      <c r="B122" s="169" t="s">
        <v>785</v>
      </c>
      <c r="C122" s="955" t="s">
        <v>1642</v>
      </c>
      <c r="D122" s="955" t="s">
        <v>8</v>
      </c>
      <c r="G122" s="946" t="s">
        <v>2423</v>
      </c>
      <c r="H122" s="946" t="s">
        <v>2424</v>
      </c>
    </row>
    <row r="123" spans="1:8" ht="15">
      <c r="A123" s="168" t="s">
        <v>788</v>
      </c>
      <c r="B123" s="169" t="s">
        <v>787</v>
      </c>
      <c r="C123" s="955" t="s">
        <v>1642</v>
      </c>
      <c r="D123" s="955" t="s">
        <v>8</v>
      </c>
      <c r="G123" s="946" t="s">
        <v>2425</v>
      </c>
      <c r="H123" s="946" t="s">
        <v>2426</v>
      </c>
    </row>
    <row r="124" spans="1:8" ht="15">
      <c r="A124" s="168" t="s">
        <v>1142</v>
      </c>
      <c r="B124" s="169" t="s">
        <v>1141</v>
      </c>
      <c r="C124" s="955" t="s">
        <v>1642</v>
      </c>
      <c r="D124" s="955" t="s">
        <v>8</v>
      </c>
      <c r="G124" s="946" t="s">
        <v>2427</v>
      </c>
      <c r="H124" s="946" t="s">
        <v>2428</v>
      </c>
    </row>
    <row r="125" spans="1:8" ht="15">
      <c r="A125" s="168" t="s">
        <v>526</v>
      </c>
      <c r="B125" s="169" t="s">
        <v>525</v>
      </c>
      <c r="C125" s="955" t="s">
        <v>1642</v>
      </c>
      <c r="D125" s="955" t="s">
        <v>8</v>
      </c>
      <c r="G125" s="946" t="s">
        <v>2258</v>
      </c>
      <c r="H125" s="946" t="s">
        <v>2259</v>
      </c>
    </row>
    <row r="126" spans="1:8" ht="15">
      <c r="A126" s="168" t="s">
        <v>292</v>
      </c>
      <c r="B126" s="169" t="s">
        <v>291</v>
      </c>
      <c r="C126" s="955" t="s">
        <v>1642</v>
      </c>
      <c r="D126" s="955" t="s">
        <v>12</v>
      </c>
      <c r="G126" s="946" t="s">
        <v>2260</v>
      </c>
      <c r="H126" s="946" t="s">
        <v>2261</v>
      </c>
    </row>
    <row r="127" spans="1:8" ht="15">
      <c r="A127" s="168" t="s">
        <v>411</v>
      </c>
      <c r="B127" s="169" t="s">
        <v>1549</v>
      </c>
      <c r="C127" s="955" t="s">
        <v>1642</v>
      </c>
      <c r="D127" s="955" t="s">
        <v>13</v>
      </c>
      <c r="G127" s="946" t="s">
        <v>2262</v>
      </c>
      <c r="H127" s="946" t="s">
        <v>2263</v>
      </c>
    </row>
    <row r="128" spans="1:8" ht="15">
      <c r="A128" s="168" t="s">
        <v>410</v>
      </c>
      <c r="B128" s="169" t="s">
        <v>409</v>
      </c>
      <c r="C128" s="955" t="s">
        <v>1642</v>
      </c>
      <c r="D128" s="955" t="s">
        <v>13</v>
      </c>
      <c r="G128" s="946" t="s">
        <v>2264</v>
      </c>
      <c r="H128" s="946" t="s">
        <v>2265</v>
      </c>
    </row>
    <row r="129" spans="1:8" ht="15">
      <c r="A129" s="168" t="s">
        <v>393</v>
      </c>
      <c r="B129" s="169" t="s">
        <v>1418</v>
      </c>
      <c r="C129" s="955" t="s">
        <v>1642</v>
      </c>
      <c r="D129" s="955" t="s">
        <v>17</v>
      </c>
      <c r="G129" s="946" t="s">
        <v>2267</v>
      </c>
      <c r="H129" s="946" t="s">
        <v>2268</v>
      </c>
    </row>
    <row r="130" spans="1:8" ht="15">
      <c r="A130" s="168" t="s">
        <v>392</v>
      </c>
      <c r="B130" s="169" t="s">
        <v>391</v>
      </c>
      <c r="C130" s="955" t="s">
        <v>1642</v>
      </c>
      <c r="D130" s="955" t="s">
        <v>21</v>
      </c>
      <c r="G130" s="946" t="s">
        <v>2269</v>
      </c>
      <c r="H130" s="946" t="s">
        <v>2270</v>
      </c>
    </row>
    <row r="131" spans="1:8" ht="15">
      <c r="A131" s="168" t="s">
        <v>1522</v>
      </c>
      <c r="B131" s="169" t="s">
        <v>1558</v>
      </c>
      <c r="C131" s="955" t="s">
        <v>1642</v>
      </c>
      <c r="D131" s="955" t="s">
        <v>15</v>
      </c>
      <c r="G131" s="946" t="s">
        <v>2271</v>
      </c>
      <c r="H131" s="946" t="s">
        <v>2272</v>
      </c>
    </row>
    <row r="132" spans="1:8" ht="15">
      <c r="A132" s="168" t="s">
        <v>355</v>
      </c>
      <c r="B132" s="169" t="s">
        <v>354</v>
      </c>
      <c r="C132" s="955" t="s">
        <v>1642</v>
      </c>
      <c r="D132" s="955" t="s">
        <v>19</v>
      </c>
      <c r="G132" s="946" t="s">
        <v>2429</v>
      </c>
      <c r="H132" s="946" t="s">
        <v>2430</v>
      </c>
    </row>
    <row r="133" spans="1:8" ht="15">
      <c r="A133" s="168" t="s">
        <v>1424</v>
      </c>
      <c r="B133" s="169" t="s">
        <v>1423</v>
      </c>
      <c r="C133" s="955" t="s">
        <v>1642</v>
      </c>
      <c r="D133" s="955" t="s">
        <v>1931</v>
      </c>
      <c r="G133" s="946" t="s">
        <v>2273</v>
      </c>
      <c r="H133" s="946" t="s">
        <v>2274</v>
      </c>
    </row>
    <row r="134" spans="1:8" ht="15">
      <c r="A134" s="169" t="s">
        <v>1417</v>
      </c>
      <c r="B134" s="169" t="s">
        <v>1416</v>
      </c>
      <c r="C134" s="955" t="s">
        <v>1642</v>
      </c>
      <c r="D134" s="955" t="s">
        <v>1931</v>
      </c>
      <c r="G134" s="946" t="s">
        <v>2276</v>
      </c>
      <c r="H134" s="946" t="s">
        <v>2277</v>
      </c>
    </row>
    <row r="135" spans="1:8" ht="15">
      <c r="A135" s="168" t="s">
        <v>1176</v>
      </c>
      <c r="B135" s="169" t="s">
        <v>1175</v>
      </c>
      <c r="C135" s="955" t="s">
        <v>1642</v>
      </c>
      <c r="D135" s="955" t="s">
        <v>40</v>
      </c>
      <c r="G135" s="946" t="s">
        <v>2279</v>
      </c>
      <c r="H135" s="946" t="s">
        <v>2280</v>
      </c>
    </row>
    <row r="136" spans="1:8" ht="15">
      <c r="A136" s="168" t="s">
        <v>1521</v>
      </c>
      <c r="B136" s="169" t="s">
        <v>1520</v>
      </c>
      <c r="C136" s="955" t="s">
        <v>1642</v>
      </c>
      <c r="D136" s="955" t="s">
        <v>15</v>
      </c>
      <c r="G136" s="946" t="s">
        <v>2281</v>
      </c>
      <c r="H136" s="946" t="s">
        <v>2282</v>
      </c>
    </row>
    <row r="137" spans="1:8" ht="15">
      <c r="A137" s="168" t="s">
        <v>1200</v>
      </c>
      <c r="B137" s="169" t="s">
        <v>1199</v>
      </c>
      <c r="C137" s="955" t="s">
        <v>1642</v>
      </c>
      <c r="D137" s="955" t="s">
        <v>1931</v>
      </c>
      <c r="G137" s="946" t="s">
        <v>2212</v>
      </c>
      <c r="H137" s="946" t="s">
        <v>2213</v>
      </c>
    </row>
    <row r="138" spans="1:8" ht="15">
      <c r="A138" s="168" t="s">
        <v>790</v>
      </c>
      <c r="B138" s="169" t="s">
        <v>789</v>
      </c>
      <c r="C138" s="955" t="s">
        <v>1642</v>
      </c>
      <c r="D138" s="955" t="s">
        <v>25</v>
      </c>
      <c r="G138" s="946" t="s">
        <v>2283</v>
      </c>
      <c r="H138" s="946" t="s">
        <v>2284</v>
      </c>
    </row>
    <row r="139" spans="1:8" ht="15">
      <c r="A139" s="168" t="s">
        <v>527</v>
      </c>
      <c r="B139" s="169" t="s">
        <v>791</v>
      </c>
      <c r="C139" s="955" t="s">
        <v>1642</v>
      </c>
      <c r="D139" s="955" t="s">
        <v>1931</v>
      </c>
      <c r="G139" s="946" t="s">
        <v>2285</v>
      </c>
      <c r="H139" s="946" t="s">
        <v>2286</v>
      </c>
    </row>
    <row r="140" spans="1:8" ht="15">
      <c r="A140" s="168" t="s">
        <v>347</v>
      </c>
      <c r="B140" s="169" t="s">
        <v>1574</v>
      </c>
      <c r="C140" s="955" t="s">
        <v>1642</v>
      </c>
      <c r="D140" s="955" t="s">
        <v>29</v>
      </c>
      <c r="G140" s="946" t="s">
        <v>2287</v>
      </c>
      <c r="H140" s="946" t="s">
        <v>2288</v>
      </c>
    </row>
    <row r="141" spans="1:8" ht="15">
      <c r="A141" s="168" t="s">
        <v>956</v>
      </c>
      <c r="B141" s="169" t="s">
        <v>955</v>
      </c>
      <c r="C141" s="955" t="s">
        <v>1642</v>
      </c>
      <c r="D141" s="955">
        <v>0</v>
      </c>
      <c r="G141" s="946" t="s">
        <v>2289</v>
      </c>
      <c r="H141" s="946" t="s">
        <v>2290</v>
      </c>
    </row>
    <row r="142" spans="1:8" ht="15">
      <c r="A142" s="168" t="s">
        <v>458</v>
      </c>
      <c r="B142" s="169" t="s">
        <v>457</v>
      </c>
      <c r="C142" s="955" t="s">
        <v>1642</v>
      </c>
      <c r="D142" s="955" t="s">
        <v>29</v>
      </c>
      <c r="G142" s="946" t="s">
        <v>2291</v>
      </c>
      <c r="H142" s="946" t="s">
        <v>2292</v>
      </c>
    </row>
    <row r="143" spans="1:8" ht="15">
      <c r="A143" s="168" t="s">
        <v>442</v>
      </c>
      <c r="B143" s="169" t="s">
        <v>441</v>
      </c>
      <c r="C143" s="955" t="s">
        <v>1642</v>
      </c>
      <c r="D143" s="955" t="s">
        <v>31</v>
      </c>
      <c r="G143" s="946" t="s">
        <v>2293</v>
      </c>
      <c r="H143" s="946" t="s">
        <v>2294</v>
      </c>
    </row>
    <row r="144" spans="1:8" ht="15">
      <c r="A144" s="168" t="s">
        <v>307</v>
      </c>
      <c r="B144" s="169" t="s">
        <v>306</v>
      </c>
      <c r="C144" s="955" t="s">
        <v>1642</v>
      </c>
      <c r="D144" s="955" t="s">
        <v>31</v>
      </c>
      <c r="G144" s="946" t="s">
        <v>2295</v>
      </c>
      <c r="H144" s="946" t="s">
        <v>2296</v>
      </c>
    </row>
    <row r="145" spans="1:8" ht="15">
      <c r="A145" s="168" t="s">
        <v>958</v>
      </c>
      <c r="B145" s="169" t="s">
        <v>957</v>
      </c>
      <c r="C145" s="955" t="s">
        <v>1642</v>
      </c>
      <c r="D145" s="955" t="s">
        <v>147</v>
      </c>
      <c r="G145" s="946" t="s">
        <v>2297</v>
      </c>
      <c r="H145" s="946" t="s">
        <v>2298</v>
      </c>
    </row>
    <row r="146" spans="1:8" ht="15">
      <c r="A146" s="168" t="s">
        <v>346</v>
      </c>
      <c r="B146" s="169" t="s">
        <v>345</v>
      </c>
      <c r="C146" s="955" t="s">
        <v>1642</v>
      </c>
      <c r="D146" s="955" t="s">
        <v>29</v>
      </c>
      <c r="G146" s="946" t="s">
        <v>2299</v>
      </c>
      <c r="H146" s="946" t="s">
        <v>2300</v>
      </c>
    </row>
    <row r="147" spans="1:8" ht="15">
      <c r="A147" s="168" t="s">
        <v>960</v>
      </c>
      <c r="B147" s="169" t="s">
        <v>959</v>
      </c>
      <c r="C147" s="955" t="s">
        <v>1642</v>
      </c>
      <c r="D147" s="955">
        <v>0</v>
      </c>
      <c r="G147" s="946" t="s">
        <v>2301</v>
      </c>
      <c r="H147" s="946" t="s">
        <v>2302</v>
      </c>
    </row>
    <row r="148" spans="1:8" ht="15">
      <c r="A148" s="168" t="s">
        <v>1576</v>
      </c>
      <c r="B148" s="169" t="s">
        <v>1575</v>
      </c>
      <c r="C148" s="955" t="s">
        <v>1642</v>
      </c>
      <c r="D148" s="955" t="s">
        <v>29</v>
      </c>
      <c r="G148" s="946" t="s">
        <v>2025</v>
      </c>
      <c r="H148" s="946" t="s">
        <v>2026</v>
      </c>
    </row>
    <row r="149" spans="1:8" ht="15">
      <c r="A149" s="168" t="s">
        <v>962</v>
      </c>
      <c r="B149" s="169" t="s">
        <v>961</v>
      </c>
      <c r="C149" s="955" t="s">
        <v>1642</v>
      </c>
      <c r="D149" s="955">
        <v>0</v>
      </c>
      <c r="G149" s="946" t="s">
        <v>2482</v>
      </c>
      <c r="H149" s="946" t="s">
        <v>2483</v>
      </c>
    </row>
    <row r="150" spans="1:8" ht="15">
      <c r="A150" s="168" t="s">
        <v>405</v>
      </c>
      <c r="B150" s="169" t="s">
        <v>404</v>
      </c>
      <c r="C150" s="955" t="s">
        <v>1642</v>
      </c>
      <c r="D150" s="955" t="s">
        <v>33</v>
      </c>
      <c r="G150" s="946" t="s">
        <v>2431</v>
      </c>
      <c r="H150" s="946" t="s">
        <v>2432</v>
      </c>
    </row>
    <row r="151" spans="1:8" ht="15">
      <c r="A151" s="168" t="s">
        <v>1500</v>
      </c>
      <c r="B151" s="169" t="s">
        <v>1499</v>
      </c>
      <c r="C151" s="955" t="s">
        <v>1642</v>
      </c>
      <c r="D151" s="955" t="s">
        <v>33</v>
      </c>
      <c r="G151" s="946" t="s">
        <v>2484</v>
      </c>
      <c r="H151" s="946" t="s">
        <v>2485</v>
      </c>
    </row>
    <row r="152" spans="1:8" ht="15">
      <c r="A152" s="168" t="s">
        <v>793</v>
      </c>
      <c r="B152" s="169" t="s">
        <v>792</v>
      </c>
      <c r="C152" s="955" t="s">
        <v>1642</v>
      </c>
      <c r="D152" s="955" t="s">
        <v>33</v>
      </c>
      <c r="G152" s="946" t="s">
        <v>2433</v>
      </c>
      <c r="H152" s="946" t="s">
        <v>2434</v>
      </c>
    </row>
    <row r="153" spans="1:8" ht="15">
      <c r="A153" s="168" t="s">
        <v>1441</v>
      </c>
      <c r="B153" s="169" t="s">
        <v>1440</v>
      </c>
      <c r="C153" s="955" t="s">
        <v>1642</v>
      </c>
      <c r="D153" s="955" t="s">
        <v>39</v>
      </c>
      <c r="G153" s="946" t="s">
        <v>2486</v>
      </c>
      <c r="H153" s="946" t="s">
        <v>2487</v>
      </c>
    </row>
    <row r="154" spans="1:8" ht="15">
      <c r="A154" s="168" t="s">
        <v>1475</v>
      </c>
      <c r="B154" s="169" t="s">
        <v>1474</v>
      </c>
      <c r="C154" s="955" t="s">
        <v>1642</v>
      </c>
      <c r="D154" s="955" t="s">
        <v>41</v>
      </c>
      <c r="G154" s="946" t="s">
        <v>2018</v>
      </c>
      <c r="H154" s="946" t="s">
        <v>2019</v>
      </c>
    </row>
    <row r="155" spans="1:8" ht="15">
      <c r="A155" s="168" t="s">
        <v>505</v>
      </c>
      <c r="B155" s="169" t="s">
        <v>504</v>
      </c>
      <c r="C155" s="955" t="s">
        <v>1642</v>
      </c>
      <c r="D155" s="955" t="s">
        <v>33</v>
      </c>
      <c r="G155" s="946" t="s">
        <v>2488</v>
      </c>
      <c r="H155" s="946" t="s">
        <v>2489</v>
      </c>
    </row>
    <row r="156" spans="1:8" ht="15">
      <c r="A156" s="168" t="s">
        <v>1439</v>
      </c>
      <c r="B156" s="169" t="s">
        <v>1438</v>
      </c>
      <c r="C156" s="955" t="s">
        <v>1642</v>
      </c>
      <c r="D156" s="955" t="s">
        <v>33</v>
      </c>
      <c r="G156" s="946" t="s">
        <v>2435</v>
      </c>
      <c r="H156" s="946" t="s">
        <v>2436</v>
      </c>
    </row>
    <row r="157" spans="1:8" ht="15">
      <c r="A157" s="168" t="s">
        <v>1433</v>
      </c>
      <c r="B157" s="169" t="s">
        <v>1432</v>
      </c>
      <c r="C157" s="955" t="s">
        <v>1642</v>
      </c>
      <c r="D157" s="955" t="s">
        <v>43</v>
      </c>
      <c r="G157" s="946" t="s">
        <v>2490</v>
      </c>
      <c r="H157" s="946" t="s">
        <v>2491</v>
      </c>
    </row>
    <row r="158" spans="1:8" ht="15">
      <c r="A158" s="168" t="s">
        <v>493</v>
      </c>
      <c r="B158" s="169" t="s">
        <v>492</v>
      </c>
      <c r="C158" s="955" t="s">
        <v>1642</v>
      </c>
      <c r="D158" s="955" t="s">
        <v>43</v>
      </c>
      <c r="G158" s="946" t="s">
        <v>2303</v>
      </c>
      <c r="H158" s="946" t="s">
        <v>342</v>
      </c>
    </row>
    <row r="159" spans="1:8" ht="15">
      <c r="A159" s="168" t="s">
        <v>1429</v>
      </c>
      <c r="B159" s="169" t="s">
        <v>1428</v>
      </c>
      <c r="C159" s="955" t="s">
        <v>1642</v>
      </c>
      <c r="D159" s="955" t="s">
        <v>43</v>
      </c>
      <c r="G159" s="946" t="s">
        <v>2013</v>
      </c>
      <c r="H159" s="946" t="s">
        <v>2014</v>
      </c>
    </row>
    <row r="160" spans="1:8" ht="15">
      <c r="A160" s="168" t="s">
        <v>495</v>
      </c>
      <c r="B160" s="169" t="s">
        <v>494</v>
      </c>
      <c r="C160" s="955" t="s">
        <v>1642</v>
      </c>
      <c r="D160" s="955" t="s">
        <v>43</v>
      </c>
      <c r="G160" s="946" t="s">
        <v>2492</v>
      </c>
      <c r="H160" s="946" t="s">
        <v>2493</v>
      </c>
    </row>
    <row r="161" spans="1:8" ht="15">
      <c r="A161" s="168" t="s">
        <v>469</v>
      </c>
      <c r="B161" s="169" t="s">
        <v>468</v>
      </c>
      <c r="C161" s="955" t="s">
        <v>1642</v>
      </c>
      <c r="D161" s="955" t="s">
        <v>43</v>
      </c>
      <c r="G161" s="946" t="s">
        <v>2437</v>
      </c>
      <c r="H161" s="946" t="s">
        <v>2438</v>
      </c>
    </row>
    <row r="162" spans="1:8" ht="15">
      <c r="A162" s="168" t="s">
        <v>463</v>
      </c>
      <c r="B162" s="169" t="s">
        <v>462</v>
      </c>
      <c r="C162" s="955" t="s">
        <v>1642</v>
      </c>
      <c r="D162" s="955" t="s">
        <v>40</v>
      </c>
      <c r="G162" s="946" t="s">
        <v>2494</v>
      </c>
      <c r="H162" s="946" t="s">
        <v>2495</v>
      </c>
    </row>
    <row r="163" spans="1:8" ht="15">
      <c r="A163" s="168" t="s">
        <v>539</v>
      </c>
      <c r="B163" s="169" t="s">
        <v>538</v>
      </c>
      <c r="C163" s="955" t="s">
        <v>1642</v>
      </c>
      <c r="D163" s="955" t="s">
        <v>43</v>
      </c>
      <c r="G163" s="946" t="s">
        <v>2439</v>
      </c>
      <c r="H163" s="946" t="s">
        <v>2440</v>
      </c>
    </row>
    <row r="164" spans="1:8" ht="15">
      <c r="A164" s="168" t="s">
        <v>541</v>
      </c>
      <c r="B164" s="169" t="s">
        <v>540</v>
      </c>
      <c r="C164" s="955" t="s">
        <v>1642</v>
      </c>
      <c r="D164" s="955" t="s">
        <v>43</v>
      </c>
      <c r="G164" s="946" t="s">
        <v>2496</v>
      </c>
      <c r="H164" s="946" t="s">
        <v>2497</v>
      </c>
    </row>
    <row r="165" spans="1:8" ht="15">
      <c r="A165" s="169" t="s">
        <v>1370</v>
      </c>
      <c r="B165" s="169" t="s">
        <v>1369</v>
      </c>
      <c r="C165" s="955" t="s">
        <v>1642</v>
      </c>
      <c r="D165" s="955" t="s">
        <v>43</v>
      </c>
      <c r="G165" s="946" t="s">
        <v>2002</v>
      </c>
      <c r="H165" s="946" t="s">
        <v>2003</v>
      </c>
    </row>
    <row r="166" spans="1:8" ht="15">
      <c r="A166" s="168" t="s">
        <v>449</v>
      </c>
      <c r="B166" s="169" t="s">
        <v>448</v>
      </c>
      <c r="C166" s="955" t="s">
        <v>1642</v>
      </c>
      <c r="D166" s="955" t="s">
        <v>43</v>
      </c>
      <c r="G166" s="946" t="s">
        <v>2498</v>
      </c>
      <c r="H166" s="946" t="s">
        <v>2499</v>
      </c>
    </row>
    <row r="167" spans="1:8" ht="15">
      <c r="A167" s="168" t="s">
        <v>1161</v>
      </c>
      <c r="B167" s="169" t="s">
        <v>1160</v>
      </c>
      <c r="C167" s="955" t="s">
        <v>1642</v>
      </c>
      <c r="D167" s="955" t="s">
        <v>43</v>
      </c>
      <c r="G167" s="946" t="s">
        <v>2030</v>
      </c>
      <c r="H167" s="946" t="s">
        <v>2031</v>
      </c>
    </row>
    <row r="168" spans="1:8" ht="15">
      <c r="A168" s="168" t="s">
        <v>428</v>
      </c>
      <c r="B168" s="169" t="s">
        <v>427</v>
      </c>
      <c r="C168" s="955" t="s">
        <v>1642</v>
      </c>
      <c r="D168" s="955" t="s">
        <v>43</v>
      </c>
      <c r="G168" s="946" t="s">
        <v>2500</v>
      </c>
      <c r="H168" s="946" t="s">
        <v>2501</v>
      </c>
    </row>
    <row r="169" spans="1:8" ht="15">
      <c r="A169" s="168" t="s">
        <v>485</v>
      </c>
      <c r="B169" s="169" t="s">
        <v>484</v>
      </c>
      <c r="C169" s="955" t="s">
        <v>1642</v>
      </c>
      <c r="D169" s="955" t="s">
        <v>40</v>
      </c>
      <c r="G169" s="946" t="s">
        <v>1998</v>
      </c>
      <c r="H169" s="946" t="s">
        <v>1999</v>
      </c>
    </row>
    <row r="170" spans="1:8" ht="15">
      <c r="A170" s="169" t="s">
        <v>1299</v>
      </c>
      <c r="B170" s="169" t="s">
        <v>1298</v>
      </c>
      <c r="C170" s="955" t="s">
        <v>1642</v>
      </c>
      <c r="D170" s="955" t="s">
        <v>40</v>
      </c>
      <c r="G170" s="946" t="s">
        <v>2502</v>
      </c>
      <c r="H170" s="946" t="s">
        <v>2503</v>
      </c>
    </row>
    <row r="171" spans="1:8" ht="15">
      <c r="A171" s="168" t="s">
        <v>477</v>
      </c>
      <c r="B171" s="169" t="s">
        <v>476</v>
      </c>
      <c r="C171" s="955" t="s">
        <v>1642</v>
      </c>
      <c r="D171" s="955" t="s">
        <v>43</v>
      </c>
      <c r="G171" s="946" t="s">
        <v>2028</v>
      </c>
      <c r="H171" s="946" t="s">
        <v>2029</v>
      </c>
    </row>
    <row r="172" spans="1:8" ht="15">
      <c r="A172" s="168" t="s">
        <v>1479</v>
      </c>
      <c r="B172" s="169" t="s">
        <v>1478</v>
      </c>
      <c r="C172" s="955" t="s">
        <v>1642</v>
      </c>
      <c r="D172" s="955" t="s">
        <v>43</v>
      </c>
      <c r="G172" s="946" t="s">
        <v>2504</v>
      </c>
      <c r="H172" s="946" t="s">
        <v>2505</v>
      </c>
    </row>
    <row r="173" spans="1:8" ht="15">
      <c r="A173" s="168" t="s">
        <v>487</v>
      </c>
      <c r="B173" s="169" t="s">
        <v>486</v>
      </c>
      <c r="C173" s="955" t="s">
        <v>1642</v>
      </c>
      <c r="D173" s="955" t="s">
        <v>43</v>
      </c>
      <c r="G173" s="946" t="s">
        <v>2441</v>
      </c>
      <c r="H173" s="946" t="s">
        <v>2442</v>
      </c>
    </row>
    <row r="174" spans="1:8" ht="15">
      <c r="A174" s="168" t="s">
        <v>319</v>
      </c>
      <c r="B174" s="169" t="s">
        <v>318</v>
      </c>
      <c r="C174" s="955" t="s">
        <v>1642</v>
      </c>
      <c r="D174" s="955" t="s">
        <v>43</v>
      </c>
      <c r="G174" s="946" t="s">
        <v>2507</v>
      </c>
      <c r="H174" s="946" t="s">
        <v>2508</v>
      </c>
    </row>
    <row r="175" spans="1:8" ht="15">
      <c r="A175" s="168" t="s">
        <v>479</v>
      </c>
      <c r="B175" s="169" t="s">
        <v>478</v>
      </c>
      <c r="C175" s="955" t="s">
        <v>1642</v>
      </c>
      <c r="D175" s="955" t="s">
        <v>43</v>
      </c>
      <c r="G175" s="946" t="s">
        <v>2004</v>
      </c>
      <c r="H175" s="946" t="s">
        <v>2005</v>
      </c>
    </row>
    <row r="176" spans="1:8" ht="15">
      <c r="A176" s="169" t="s">
        <v>1277</v>
      </c>
      <c r="B176" s="169" t="s">
        <v>1276</v>
      </c>
      <c r="C176" s="955" t="s">
        <v>1642</v>
      </c>
      <c r="D176" s="955" t="s">
        <v>43</v>
      </c>
      <c r="G176" s="946" t="s">
        <v>2509</v>
      </c>
      <c r="H176" s="946" t="s">
        <v>2510</v>
      </c>
    </row>
    <row r="177" spans="1:8" ht="15">
      <c r="A177" s="168" t="s">
        <v>1152</v>
      </c>
      <c r="B177" s="169" t="s">
        <v>1151</v>
      </c>
      <c r="C177" s="955" t="s">
        <v>1642</v>
      </c>
      <c r="D177" s="955" t="s">
        <v>43</v>
      </c>
      <c r="G177" s="946" t="s">
        <v>2000</v>
      </c>
      <c r="H177" s="946" t="s">
        <v>2001</v>
      </c>
    </row>
    <row r="178" spans="1:8" ht="15">
      <c r="A178" s="168" t="s">
        <v>795</v>
      </c>
      <c r="B178" s="169" t="s">
        <v>794</v>
      </c>
      <c r="C178" s="955" t="s">
        <v>1642</v>
      </c>
      <c r="D178" s="955" t="s">
        <v>53</v>
      </c>
      <c r="G178" s="946" t="s">
        <v>2511</v>
      </c>
      <c r="H178" s="946" t="s">
        <v>2512</v>
      </c>
    </row>
    <row r="179" spans="1:8" ht="15">
      <c r="A179" s="168" t="s">
        <v>481</v>
      </c>
      <c r="B179" s="169" t="s">
        <v>480</v>
      </c>
      <c r="C179" s="955" t="s">
        <v>1642</v>
      </c>
      <c r="D179" s="955" t="s">
        <v>53</v>
      </c>
      <c r="G179" s="946" t="s">
        <v>2304</v>
      </c>
      <c r="H179" s="946" t="s">
        <v>2305</v>
      </c>
    </row>
    <row r="180" spans="1:8" ht="15">
      <c r="A180" s="168" t="s">
        <v>797</v>
      </c>
      <c r="B180" s="169" t="s">
        <v>796</v>
      </c>
      <c r="C180" s="955" t="s">
        <v>1642</v>
      </c>
      <c r="D180" s="955" t="s">
        <v>53</v>
      </c>
      <c r="G180" s="946" t="s">
        <v>2443</v>
      </c>
      <c r="H180" s="946" t="s">
        <v>2444</v>
      </c>
    </row>
    <row r="181" spans="1:8" ht="15">
      <c r="A181" s="168" t="s">
        <v>434</v>
      </c>
      <c r="B181" s="169" t="s">
        <v>433</v>
      </c>
      <c r="C181" s="955" t="s">
        <v>1642</v>
      </c>
      <c r="D181" s="955" t="s">
        <v>53</v>
      </c>
      <c r="G181" s="946" t="s">
        <v>2513</v>
      </c>
      <c r="H181" s="946" t="s">
        <v>2514</v>
      </c>
    </row>
    <row r="182" spans="1:8" ht="15">
      <c r="A182" s="168" t="s">
        <v>799</v>
      </c>
      <c r="B182" s="169" t="s">
        <v>798</v>
      </c>
      <c r="C182" s="955" t="s">
        <v>1642</v>
      </c>
      <c r="D182" s="955" t="s">
        <v>57</v>
      </c>
      <c r="G182" s="946" t="s">
        <v>2307</v>
      </c>
      <c r="H182" s="946" t="s">
        <v>2308</v>
      </c>
    </row>
    <row r="183" spans="1:8" ht="15">
      <c r="A183" s="168" t="s">
        <v>440</v>
      </c>
      <c r="B183" s="169" t="s">
        <v>439</v>
      </c>
      <c r="C183" s="955" t="s">
        <v>1642</v>
      </c>
      <c r="D183" s="955" t="s">
        <v>57</v>
      </c>
      <c r="G183" s="946" t="s">
        <v>2309</v>
      </c>
      <c r="H183" s="946" t="s">
        <v>2310</v>
      </c>
    </row>
    <row r="184" spans="1:8" ht="15">
      <c r="A184" s="168" t="s">
        <v>801</v>
      </c>
      <c r="B184" s="169" t="s">
        <v>800</v>
      </c>
      <c r="C184" s="955" t="s">
        <v>1642</v>
      </c>
      <c r="D184" s="955" t="s">
        <v>57</v>
      </c>
      <c r="G184" s="946" t="s">
        <v>2311</v>
      </c>
      <c r="H184" s="946" t="s">
        <v>2312</v>
      </c>
    </row>
    <row r="185" spans="1:8" ht="15">
      <c r="A185" s="168" t="s">
        <v>543</v>
      </c>
      <c r="B185" s="169" t="s">
        <v>542</v>
      </c>
      <c r="C185" s="955" t="s">
        <v>1642</v>
      </c>
      <c r="D185" s="955" t="s">
        <v>57</v>
      </c>
      <c r="G185" s="946" t="s">
        <v>2313</v>
      </c>
      <c r="H185" s="946" t="s">
        <v>2314</v>
      </c>
    </row>
    <row r="186" spans="1:8" ht="15">
      <c r="A186" s="168" t="s">
        <v>803</v>
      </c>
      <c r="B186" s="169" t="s">
        <v>802</v>
      </c>
      <c r="C186" s="955" t="s">
        <v>1642</v>
      </c>
      <c r="D186" s="955" t="s">
        <v>57</v>
      </c>
      <c r="G186" s="946" t="s">
        <v>2315</v>
      </c>
      <c r="H186" s="946" t="s">
        <v>2316</v>
      </c>
    </row>
    <row r="187" spans="1:8" ht="15">
      <c r="A187" s="168" t="s">
        <v>805</v>
      </c>
      <c r="B187" s="169" t="s">
        <v>804</v>
      </c>
      <c r="C187" s="955" t="s">
        <v>1642</v>
      </c>
      <c r="D187" s="955" t="s">
        <v>57</v>
      </c>
      <c r="G187" s="946" t="s">
        <v>2317</v>
      </c>
      <c r="H187" s="946" t="s">
        <v>2318</v>
      </c>
    </row>
    <row r="188" spans="1:8" ht="15">
      <c r="A188" s="168" t="s">
        <v>807</v>
      </c>
      <c r="B188" s="169" t="s">
        <v>806</v>
      </c>
      <c r="C188" s="955" t="s">
        <v>1642</v>
      </c>
      <c r="D188" s="955" t="s">
        <v>60</v>
      </c>
      <c r="G188" s="946" t="s">
        <v>2319</v>
      </c>
      <c r="H188" s="946" t="s">
        <v>2320</v>
      </c>
    </row>
    <row r="189" spans="1:8" ht="15">
      <c r="A189" s="168" t="s">
        <v>535</v>
      </c>
      <c r="B189" s="169" t="s">
        <v>534</v>
      </c>
      <c r="C189" s="955" t="s">
        <v>1642</v>
      </c>
      <c r="D189" s="955" t="s">
        <v>60</v>
      </c>
      <c r="G189" s="946" t="s">
        <v>2038</v>
      </c>
      <c r="H189" s="946" t="s">
        <v>2039</v>
      </c>
    </row>
    <row r="190" spans="1:8" ht="15">
      <c r="A190" s="168" t="s">
        <v>809</v>
      </c>
      <c r="B190" s="169" t="s">
        <v>808</v>
      </c>
      <c r="C190" s="955" t="s">
        <v>1642</v>
      </c>
      <c r="D190" s="955" t="s">
        <v>1925</v>
      </c>
      <c r="G190" s="946" t="s">
        <v>2515</v>
      </c>
      <c r="H190" s="946" t="s">
        <v>2516</v>
      </c>
    </row>
    <row r="191" spans="1:8" ht="15">
      <c r="A191" s="168" t="s">
        <v>471</v>
      </c>
      <c r="B191" s="169" t="s">
        <v>470</v>
      </c>
      <c r="C191" s="955" t="s">
        <v>1642</v>
      </c>
      <c r="D191" s="955" t="s">
        <v>1925</v>
      </c>
      <c r="G191" s="946" t="s">
        <v>2321</v>
      </c>
      <c r="H191" s="946" t="s">
        <v>2322</v>
      </c>
    </row>
    <row r="192" spans="1:8" ht="15">
      <c r="A192" s="168" t="s">
        <v>811</v>
      </c>
      <c r="B192" s="169" t="s">
        <v>810</v>
      </c>
      <c r="C192" s="955" t="s">
        <v>1642</v>
      </c>
      <c r="D192" s="955" t="s">
        <v>60</v>
      </c>
      <c r="G192" s="946" t="s">
        <v>2006</v>
      </c>
      <c r="H192" s="946" t="s">
        <v>2007</v>
      </c>
    </row>
    <row r="193" spans="1:8" ht="15">
      <c r="A193" s="168" t="s">
        <v>813</v>
      </c>
      <c r="B193" s="169" t="s">
        <v>812</v>
      </c>
      <c r="C193" s="955" t="s">
        <v>1642</v>
      </c>
      <c r="D193" s="955" t="s">
        <v>60</v>
      </c>
      <c r="G193" s="946" t="s">
        <v>2517</v>
      </c>
      <c r="H193" s="946" t="s">
        <v>2518</v>
      </c>
    </row>
    <row r="194" spans="1:8" ht="15">
      <c r="A194" s="168" t="s">
        <v>815</v>
      </c>
      <c r="B194" s="169" t="s">
        <v>814</v>
      </c>
      <c r="C194" s="955" t="s">
        <v>1642</v>
      </c>
      <c r="D194" s="955" t="s">
        <v>1925</v>
      </c>
      <c r="G194" s="946" t="s">
        <v>2323</v>
      </c>
      <c r="H194" s="946" t="s">
        <v>2324</v>
      </c>
    </row>
    <row r="195" spans="1:8" ht="15">
      <c r="A195" s="168" t="s">
        <v>817</v>
      </c>
      <c r="B195" s="169" t="s">
        <v>816</v>
      </c>
      <c r="C195" s="955" t="s">
        <v>1642</v>
      </c>
      <c r="D195" s="955" t="s">
        <v>1925</v>
      </c>
      <c r="G195" s="946" t="s">
        <v>2325</v>
      </c>
      <c r="H195" s="946" t="s">
        <v>2326</v>
      </c>
    </row>
    <row r="196" spans="1:8" ht="15">
      <c r="A196" s="168" t="s">
        <v>1172</v>
      </c>
      <c r="B196" s="169" t="s">
        <v>1171</v>
      </c>
      <c r="C196" s="955" t="s">
        <v>1642</v>
      </c>
      <c r="D196" s="955" t="s">
        <v>59</v>
      </c>
      <c r="G196" s="946" t="s">
        <v>2011</v>
      </c>
      <c r="H196" s="946" t="s">
        <v>2012</v>
      </c>
    </row>
    <row r="197" spans="1:8" ht="15">
      <c r="A197" s="168" t="s">
        <v>489</v>
      </c>
      <c r="B197" s="169" t="s">
        <v>488</v>
      </c>
      <c r="C197" s="955" t="s">
        <v>1642</v>
      </c>
      <c r="D197" s="955" t="s">
        <v>59</v>
      </c>
      <c r="G197" s="946" t="s">
        <v>2011</v>
      </c>
      <c r="H197" s="946" t="s">
        <v>2519</v>
      </c>
    </row>
    <row r="198" spans="1:8" ht="15">
      <c r="A198" s="168" t="s">
        <v>819</v>
      </c>
      <c r="B198" s="169" t="s">
        <v>818</v>
      </c>
      <c r="C198" s="955" t="s">
        <v>1642</v>
      </c>
      <c r="D198" s="955" t="s">
        <v>59</v>
      </c>
      <c r="G198" s="946" t="s">
        <v>2191</v>
      </c>
      <c r="H198" s="946" t="s">
        <v>2192</v>
      </c>
    </row>
    <row r="199" spans="1:8" ht="15">
      <c r="A199" s="168" t="s">
        <v>821</v>
      </c>
      <c r="B199" s="169" t="s">
        <v>820</v>
      </c>
      <c r="C199" s="955" t="s">
        <v>1642</v>
      </c>
      <c r="D199" s="955" t="s">
        <v>59</v>
      </c>
      <c r="G199" s="946" t="s">
        <v>2520</v>
      </c>
      <c r="H199" s="946" t="s">
        <v>2521</v>
      </c>
    </row>
    <row r="200" spans="1:8" ht="15">
      <c r="A200" s="168" t="s">
        <v>823</v>
      </c>
      <c r="B200" s="169" t="s">
        <v>822</v>
      </c>
      <c r="C200" s="955" t="s">
        <v>1642</v>
      </c>
      <c r="D200" s="955" t="s">
        <v>62</v>
      </c>
      <c r="G200" s="946" t="s">
        <v>2041</v>
      </c>
      <c r="H200" s="946" t="s">
        <v>2042</v>
      </c>
    </row>
    <row r="201" spans="1:8" ht="15">
      <c r="A201" s="168" t="s">
        <v>517</v>
      </c>
      <c r="B201" s="169" t="s">
        <v>516</v>
      </c>
      <c r="C201" s="955" t="s">
        <v>1642</v>
      </c>
      <c r="D201" s="955" t="s">
        <v>1926</v>
      </c>
      <c r="G201" s="946" t="s">
        <v>2041</v>
      </c>
      <c r="H201" s="946" t="s">
        <v>2522</v>
      </c>
    </row>
    <row r="202" spans="1:8" ht="15">
      <c r="A202" s="169" t="s">
        <v>1339</v>
      </c>
      <c r="B202" s="169" t="s">
        <v>1338</v>
      </c>
      <c r="C202" s="955" t="s">
        <v>1642</v>
      </c>
      <c r="D202" s="955" t="s">
        <v>1931</v>
      </c>
      <c r="G202" s="946" t="s">
        <v>2051</v>
      </c>
      <c r="H202" s="946" t="s">
        <v>2052</v>
      </c>
    </row>
    <row r="203" spans="1:8" ht="15">
      <c r="A203" s="168" t="s">
        <v>281</v>
      </c>
      <c r="B203" s="169" t="s">
        <v>280</v>
      </c>
      <c r="C203" s="955" t="s">
        <v>1642</v>
      </c>
      <c r="D203" s="955" t="s">
        <v>30</v>
      </c>
      <c r="G203" s="946" t="s">
        <v>2051</v>
      </c>
      <c r="H203" s="946" t="s">
        <v>2523</v>
      </c>
    </row>
    <row r="204" spans="1:8" ht="15">
      <c r="A204" s="166" t="s">
        <v>549</v>
      </c>
      <c r="B204" s="166" t="s">
        <v>548</v>
      </c>
      <c r="C204" s="955" t="s">
        <v>1642</v>
      </c>
      <c r="D204" s="955" t="s">
        <v>18</v>
      </c>
      <c r="G204" s="946" t="s">
        <v>2628</v>
      </c>
      <c r="H204" s="946" t="s">
        <v>2629</v>
      </c>
    </row>
    <row r="205" spans="1:8" ht="15">
      <c r="A205" s="168" t="s">
        <v>398</v>
      </c>
      <c r="B205" s="169" t="s">
        <v>1515</v>
      </c>
      <c r="C205" s="955" t="s">
        <v>1642</v>
      </c>
      <c r="D205" s="955" t="s">
        <v>18</v>
      </c>
      <c r="G205" s="946" t="s">
        <v>2524</v>
      </c>
      <c r="H205" s="946" t="s">
        <v>2525</v>
      </c>
    </row>
    <row r="206" spans="1:8" ht="15">
      <c r="A206" s="168" t="s">
        <v>397</v>
      </c>
      <c r="B206" s="169" t="s">
        <v>396</v>
      </c>
      <c r="C206" s="955" t="s">
        <v>1642</v>
      </c>
      <c r="D206" s="955" t="s">
        <v>18</v>
      </c>
      <c r="G206" s="946" t="s">
        <v>2071</v>
      </c>
      <c r="H206" s="946" t="s">
        <v>2072</v>
      </c>
    </row>
    <row r="207" spans="1:8" ht="15">
      <c r="A207" s="168" t="s">
        <v>418</v>
      </c>
      <c r="B207" s="169" t="s">
        <v>1533</v>
      </c>
      <c r="C207" s="955" t="s">
        <v>1642</v>
      </c>
      <c r="D207" s="955" t="s">
        <v>18</v>
      </c>
      <c r="G207" s="946" t="s">
        <v>2071</v>
      </c>
      <c r="H207" s="946" t="s">
        <v>2526</v>
      </c>
    </row>
    <row r="208" spans="1:8" ht="15">
      <c r="A208" s="168" t="s">
        <v>417</v>
      </c>
      <c r="B208" s="169" t="s">
        <v>416</v>
      </c>
      <c r="C208" s="955" t="s">
        <v>1642</v>
      </c>
      <c r="D208" s="955" t="s">
        <v>18</v>
      </c>
      <c r="G208" s="946" t="s">
        <v>2144</v>
      </c>
      <c r="H208" s="946" t="s">
        <v>2145</v>
      </c>
    </row>
    <row r="209" spans="1:8" ht="15">
      <c r="A209" s="168" t="s">
        <v>1146</v>
      </c>
      <c r="B209" s="169" t="s">
        <v>1145</v>
      </c>
      <c r="C209" s="955" t="s">
        <v>1642</v>
      </c>
      <c r="D209" s="955" t="s">
        <v>18</v>
      </c>
      <c r="G209" s="946" t="s">
        <v>2144</v>
      </c>
      <c r="H209" s="946" t="s">
        <v>2527</v>
      </c>
    </row>
    <row r="210" spans="1:8" ht="15">
      <c r="A210" s="168" t="s">
        <v>455</v>
      </c>
      <c r="B210" s="169" t="s">
        <v>454</v>
      </c>
      <c r="C210" s="955" t="s">
        <v>1642</v>
      </c>
      <c r="D210" s="955" t="s">
        <v>26</v>
      </c>
      <c r="G210" s="946" t="s">
        <v>2167</v>
      </c>
      <c r="H210" s="946" t="s">
        <v>2168</v>
      </c>
    </row>
    <row r="211" spans="1:8" ht="15">
      <c r="A211" s="168" t="s">
        <v>456</v>
      </c>
      <c r="B211" s="169" t="s">
        <v>511</v>
      </c>
      <c r="C211" s="955" t="s">
        <v>1642</v>
      </c>
      <c r="D211" s="955" t="s">
        <v>26</v>
      </c>
      <c r="G211" s="946" t="s">
        <v>2528</v>
      </c>
      <c r="H211" s="946" t="s">
        <v>2529</v>
      </c>
    </row>
    <row r="212" spans="1:8" ht="15">
      <c r="A212" s="168" t="s">
        <v>1465</v>
      </c>
      <c r="B212" s="169" t="s">
        <v>1464</v>
      </c>
      <c r="C212" s="955" t="s">
        <v>1642</v>
      </c>
      <c r="D212" s="955" t="s">
        <v>26</v>
      </c>
      <c r="G212" s="946" t="s">
        <v>2086</v>
      </c>
      <c r="H212" s="946" t="s">
        <v>2087</v>
      </c>
    </row>
    <row r="213" spans="1:8" ht="15">
      <c r="A213" s="168" t="s">
        <v>499</v>
      </c>
      <c r="B213" s="169" t="s">
        <v>498</v>
      </c>
      <c r="C213" s="955" t="s">
        <v>1642</v>
      </c>
      <c r="D213" s="955" t="s">
        <v>26</v>
      </c>
      <c r="G213" s="946" t="s">
        <v>2530</v>
      </c>
      <c r="H213" s="946" t="s">
        <v>2531</v>
      </c>
    </row>
    <row r="214" spans="1:8" ht="15">
      <c r="A214" s="168" t="s">
        <v>408</v>
      </c>
      <c r="B214" s="169" t="s">
        <v>1559</v>
      </c>
      <c r="C214" s="955" t="s">
        <v>1642</v>
      </c>
      <c r="D214" s="955" t="s">
        <v>16</v>
      </c>
      <c r="G214" s="946" t="s">
        <v>2069</v>
      </c>
      <c r="H214" s="946" t="s">
        <v>2070</v>
      </c>
    </row>
    <row r="215" spans="1:8" ht="15">
      <c r="A215" s="168" t="s">
        <v>407</v>
      </c>
      <c r="B215" s="169" t="s">
        <v>406</v>
      </c>
      <c r="C215" s="955" t="s">
        <v>1642</v>
      </c>
      <c r="D215" s="955" t="s">
        <v>26</v>
      </c>
      <c r="G215" s="946" t="s">
        <v>2532</v>
      </c>
      <c r="H215" s="946" t="s">
        <v>2533</v>
      </c>
    </row>
    <row r="216" spans="1:8" ht="15">
      <c r="A216" s="168" t="s">
        <v>497</v>
      </c>
      <c r="B216" s="169" t="s">
        <v>496</v>
      </c>
      <c r="C216" s="955" t="s">
        <v>1642</v>
      </c>
      <c r="D216" s="955" t="s">
        <v>40</v>
      </c>
      <c r="G216" s="946" t="s">
        <v>2067</v>
      </c>
      <c r="H216" s="946" t="s">
        <v>2068</v>
      </c>
    </row>
    <row r="217" spans="1:8" ht="15">
      <c r="A217" s="168" t="s">
        <v>460</v>
      </c>
      <c r="B217" s="169" t="s">
        <v>459</v>
      </c>
      <c r="C217" s="955" t="s">
        <v>1642</v>
      </c>
      <c r="D217" s="955" t="s">
        <v>40</v>
      </c>
      <c r="G217" s="946" t="s">
        <v>2534</v>
      </c>
      <c r="H217" s="946" t="s">
        <v>2535</v>
      </c>
    </row>
    <row r="218" spans="1:8" ht="15">
      <c r="A218" s="168" t="s">
        <v>825</v>
      </c>
      <c r="B218" s="169" t="s">
        <v>824</v>
      </c>
      <c r="C218" s="955" t="s">
        <v>1642</v>
      </c>
      <c r="D218" s="955" t="s">
        <v>11</v>
      </c>
      <c r="G218" s="946" t="s">
        <v>2100</v>
      </c>
      <c r="H218" s="946" t="s">
        <v>2101</v>
      </c>
    </row>
    <row r="219" spans="1:8" ht="15">
      <c r="A219" s="169" t="s">
        <v>447</v>
      </c>
      <c r="B219" s="169" t="s">
        <v>1382</v>
      </c>
      <c r="C219" s="955" t="s">
        <v>1642</v>
      </c>
      <c r="D219" s="955" t="s">
        <v>38</v>
      </c>
      <c r="G219" s="946" t="s">
        <v>2536</v>
      </c>
      <c r="H219" s="946" t="s">
        <v>2537</v>
      </c>
    </row>
    <row r="220" spans="1:8" ht="15">
      <c r="A220" s="168" t="s">
        <v>503</v>
      </c>
      <c r="B220" s="169" t="s">
        <v>502</v>
      </c>
      <c r="C220" s="955" t="s">
        <v>1642</v>
      </c>
      <c r="D220" s="955" t="s">
        <v>38</v>
      </c>
      <c r="G220" s="946" t="s">
        <v>2023</v>
      </c>
      <c r="H220" s="946" t="s">
        <v>2024</v>
      </c>
    </row>
    <row r="221" spans="1:8" ht="15">
      <c r="A221" s="168" t="s">
        <v>446</v>
      </c>
      <c r="B221" s="169" t="s">
        <v>445</v>
      </c>
      <c r="C221" s="955" t="s">
        <v>1642</v>
      </c>
      <c r="D221" s="955" t="s">
        <v>38</v>
      </c>
      <c r="G221" s="946" t="s">
        <v>2538</v>
      </c>
      <c r="H221" s="946" t="s">
        <v>2539</v>
      </c>
    </row>
    <row r="222" spans="1:8" ht="15">
      <c r="A222" s="168" t="s">
        <v>1190</v>
      </c>
      <c r="B222" s="169" t="s">
        <v>1189</v>
      </c>
      <c r="C222" s="955" t="s">
        <v>1642</v>
      </c>
      <c r="D222" s="955" t="s">
        <v>38</v>
      </c>
      <c r="G222" s="946" t="s">
        <v>2150</v>
      </c>
      <c r="H222" s="946" t="s">
        <v>2151</v>
      </c>
    </row>
    <row r="223" spans="1:8" ht="15">
      <c r="A223" s="168" t="s">
        <v>537</v>
      </c>
      <c r="B223" s="169" t="s">
        <v>536</v>
      </c>
      <c r="C223" s="955" t="s">
        <v>1642</v>
      </c>
      <c r="D223" s="955" t="s">
        <v>38</v>
      </c>
      <c r="G223" s="946" t="s">
        <v>2043</v>
      </c>
      <c r="H223" s="946" t="s">
        <v>2044</v>
      </c>
    </row>
    <row r="224" spans="1:8" ht="15">
      <c r="A224" s="168" t="s">
        <v>1426</v>
      </c>
      <c r="B224" s="169" t="s">
        <v>1425</v>
      </c>
      <c r="C224" s="955" t="s">
        <v>1642</v>
      </c>
      <c r="D224" s="955" t="s">
        <v>22</v>
      </c>
      <c r="G224" s="946" t="s">
        <v>2540</v>
      </c>
      <c r="H224" s="946" t="s">
        <v>2541</v>
      </c>
    </row>
    <row r="225" spans="1:8" ht="15">
      <c r="A225" s="168" t="s">
        <v>475</v>
      </c>
      <c r="B225" s="169" t="s">
        <v>474</v>
      </c>
      <c r="C225" s="955" t="s">
        <v>1642</v>
      </c>
      <c r="D225" s="955" t="s">
        <v>36</v>
      </c>
      <c r="G225" s="946" t="s">
        <v>2047</v>
      </c>
      <c r="H225" s="946" t="s">
        <v>2048</v>
      </c>
    </row>
    <row r="226" spans="1:8" ht="15">
      <c r="A226" s="168" t="s">
        <v>384</v>
      </c>
      <c r="B226" s="169" t="s">
        <v>383</v>
      </c>
      <c r="C226" s="955" t="s">
        <v>1642</v>
      </c>
      <c r="D226" s="955" t="s">
        <v>36</v>
      </c>
      <c r="G226" s="946" t="s">
        <v>2542</v>
      </c>
      <c r="H226" s="946" t="s">
        <v>2543</v>
      </c>
    </row>
    <row r="227" spans="1:8" ht="15">
      <c r="A227" s="168" t="s">
        <v>451</v>
      </c>
      <c r="B227" s="169" t="s">
        <v>450</v>
      </c>
      <c r="C227" s="955" t="s">
        <v>1642</v>
      </c>
      <c r="D227" s="955" t="s">
        <v>36</v>
      </c>
      <c r="G227" s="946" t="s">
        <v>2150</v>
      </c>
      <c r="H227" s="946" t="s">
        <v>2169</v>
      </c>
    </row>
    <row r="228" spans="1:8" ht="15">
      <c r="A228" s="168" t="s">
        <v>1481</v>
      </c>
      <c r="B228" s="169" t="s">
        <v>1480</v>
      </c>
      <c r="C228" s="955" t="s">
        <v>1642</v>
      </c>
      <c r="D228" s="955" t="s">
        <v>36</v>
      </c>
      <c r="G228" s="946" t="s">
        <v>2114</v>
      </c>
      <c r="H228" s="946" t="s">
        <v>2115</v>
      </c>
    </row>
    <row r="229" spans="1:8" ht="15">
      <c r="A229" s="169" t="s">
        <v>1282</v>
      </c>
      <c r="B229" s="169" t="s">
        <v>1281</v>
      </c>
      <c r="C229" s="955" t="s">
        <v>1642</v>
      </c>
      <c r="D229" s="955" t="s">
        <v>36</v>
      </c>
      <c r="G229" s="946" t="s">
        <v>2544</v>
      </c>
      <c r="H229" s="946" t="s">
        <v>2545</v>
      </c>
    </row>
    <row r="230" spans="1:8" ht="15">
      <c r="A230" s="169" t="s">
        <v>826</v>
      </c>
      <c r="B230" s="169" t="s">
        <v>1326</v>
      </c>
      <c r="C230" s="955" t="s">
        <v>1642</v>
      </c>
      <c r="D230" s="955" t="s">
        <v>54</v>
      </c>
      <c r="G230" s="946" t="s">
        <v>2114</v>
      </c>
      <c r="H230" s="946" t="s">
        <v>2445</v>
      </c>
    </row>
    <row r="231" spans="1:8" ht="15">
      <c r="A231" s="168" t="s">
        <v>828</v>
      </c>
      <c r="B231" s="169" t="s">
        <v>827</v>
      </c>
      <c r="C231" s="955" t="s">
        <v>1642</v>
      </c>
      <c r="D231" s="955" t="s">
        <v>40</v>
      </c>
      <c r="G231" s="946" t="s">
        <v>2546</v>
      </c>
      <c r="H231" s="946" t="s">
        <v>2547</v>
      </c>
    </row>
    <row r="232" spans="1:8" ht="15">
      <c r="A232" s="168" t="s">
        <v>830</v>
      </c>
      <c r="B232" s="169" t="s">
        <v>829</v>
      </c>
      <c r="C232" s="955" t="s">
        <v>1642</v>
      </c>
      <c r="D232" s="955" t="s">
        <v>67</v>
      </c>
      <c r="G232" s="946" t="s">
        <v>2107</v>
      </c>
      <c r="H232" s="946" t="s">
        <v>2108</v>
      </c>
    </row>
    <row r="233" spans="1:8" ht="15">
      <c r="A233" s="168" t="s">
        <v>833</v>
      </c>
      <c r="B233" s="169" t="s">
        <v>832</v>
      </c>
      <c r="C233" s="955" t="s">
        <v>1642</v>
      </c>
      <c r="D233" s="955" t="s">
        <v>69</v>
      </c>
      <c r="G233" s="946" t="s">
        <v>2548</v>
      </c>
      <c r="H233" s="946" t="s">
        <v>2549</v>
      </c>
    </row>
    <row r="234" spans="1:8" ht="15">
      <c r="A234" s="950" t="s">
        <v>1651</v>
      </c>
      <c r="B234" s="171" t="s">
        <v>1582</v>
      </c>
      <c r="C234" s="955" t="s">
        <v>75</v>
      </c>
      <c r="D234" s="955" t="s">
        <v>89</v>
      </c>
      <c r="G234" s="946" t="s">
        <v>2090</v>
      </c>
      <c r="H234" s="946" t="s">
        <v>2091</v>
      </c>
    </row>
    <row r="235" spans="1:8" ht="15">
      <c r="A235" s="950" t="s">
        <v>1652</v>
      </c>
      <c r="B235" s="171" t="s">
        <v>1583</v>
      </c>
      <c r="C235" s="955" t="s">
        <v>75</v>
      </c>
      <c r="D235" s="955" t="s">
        <v>89</v>
      </c>
      <c r="G235" s="946" t="s">
        <v>2550</v>
      </c>
      <c r="H235" s="946" t="s">
        <v>2551</v>
      </c>
    </row>
    <row r="236" spans="1:8" ht="15">
      <c r="A236" s="171" t="s">
        <v>1657</v>
      </c>
      <c r="B236" s="171" t="s">
        <v>300</v>
      </c>
      <c r="C236" s="955" t="s">
        <v>75</v>
      </c>
      <c r="D236" s="955" t="s">
        <v>89</v>
      </c>
      <c r="G236" s="946" t="s">
        <v>2165</v>
      </c>
      <c r="H236" s="946" t="s">
        <v>2166</v>
      </c>
    </row>
    <row r="237" spans="1:8" ht="15">
      <c r="A237" s="950" t="s">
        <v>1662</v>
      </c>
      <c r="B237" s="171" t="s">
        <v>1590</v>
      </c>
      <c r="C237" s="955" t="s">
        <v>75</v>
      </c>
      <c r="D237" s="955" t="s">
        <v>89</v>
      </c>
      <c r="G237" s="946" t="s">
        <v>2552</v>
      </c>
      <c r="H237" s="946" t="s">
        <v>2553</v>
      </c>
    </row>
    <row r="238" spans="1:8" ht="15">
      <c r="A238" s="950" t="s">
        <v>1663</v>
      </c>
      <c r="B238" s="171" t="s">
        <v>1591</v>
      </c>
      <c r="C238" s="955" t="s">
        <v>75</v>
      </c>
      <c r="D238" s="955" t="s">
        <v>89</v>
      </c>
      <c r="G238" s="946" t="s">
        <v>2082</v>
      </c>
      <c r="H238" s="946" t="s">
        <v>2083</v>
      </c>
    </row>
    <row r="239" spans="1:8" ht="15">
      <c r="A239" s="950" t="s">
        <v>1671</v>
      </c>
      <c r="B239" s="171" t="s">
        <v>1600</v>
      </c>
      <c r="C239" s="955" t="s">
        <v>75</v>
      </c>
      <c r="D239" s="955" t="s">
        <v>89</v>
      </c>
      <c r="G239" s="946" t="s">
        <v>2554</v>
      </c>
      <c r="H239" s="946" t="s">
        <v>2555</v>
      </c>
    </row>
    <row r="240" spans="1:8" ht="15">
      <c r="A240" s="950" t="s">
        <v>1678</v>
      </c>
      <c r="B240" s="171" t="s">
        <v>1606</v>
      </c>
      <c r="C240" s="955" t="s">
        <v>75</v>
      </c>
      <c r="D240" s="955" t="s">
        <v>89</v>
      </c>
      <c r="G240" s="946" t="s">
        <v>2045</v>
      </c>
      <c r="H240" s="946" t="s">
        <v>2046</v>
      </c>
    </row>
    <row r="241" spans="1:8" ht="15">
      <c r="A241" s="950" t="s">
        <v>1680</v>
      </c>
      <c r="B241" s="171" t="s">
        <v>1608</v>
      </c>
      <c r="C241" s="955" t="s">
        <v>75</v>
      </c>
      <c r="D241" s="955" t="s">
        <v>89</v>
      </c>
      <c r="G241" s="946" t="s">
        <v>2556</v>
      </c>
      <c r="H241" s="946" t="s">
        <v>2557</v>
      </c>
    </row>
    <row r="242" spans="1:8" ht="15">
      <c r="A242" s="167" t="s">
        <v>1728</v>
      </c>
      <c r="B242" s="171" t="s">
        <v>1729</v>
      </c>
      <c r="C242" s="955" t="s">
        <v>75</v>
      </c>
      <c r="D242" s="955" t="s">
        <v>90</v>
      </c>
      <c r="G242" s="946" t="s">
        <v>2034</v>
      </c>
      <c r="H242" s="946" t="s">
        <v>2035</v>
      </c>
    </row>
    <row r="243" spans="1:8" ht="15">
      <c r="A243" s="950" t="s">
        <v>1660</v>
      </c>
      <c r="B243" s="171" t="s">
        <v>1589</v>
      </c>
      <c r="C243" s="955" t="s">
        <v>75</v>
      </c>
      <c r="D243" s="955" t="s">
        <v>89</v>
      </c>
      <c r="G243" s="946" t="s">
        <v>2034</v>
      </c>
      <c r="H243" s="946" t="s">
        <v>2558</v>
      </c>
    </row>
    <row r="244" spans="1:8" ht="15">
      <c r="A244" s="950" t="s">
        <v>1699</v>
      </c>
      <c r="B244" s="171" t="s">
        <v>1625</v>
      </c>
      <c r="C244" s="955" t="s">
        <v>75</v>
      </c>
      <c r="D244" s="955" t="s">
        <v>89</v>
      </c>
      <c r="G244" s="946" t="s">
        <v>2120</v>
      </c>
      <c r="H244" s="946" t="s">
        <v>2121</v>
      </c>
    </row>
    <row r="245" spans="1:8" ht="15">
      <c r="A245" s="950" t="s">
        <v>1707</v>
      </c>
      <c r="B245" s="171" t="s">
        <v>1632</v>
      </c>
      <c r="C245" s="955" t="s">
        <v>75</v>
      </c>
      <c r="D245" s="955" t="s">
        <v>89</v>
      </c>
      <c r="G245" s="946" t="s">
        <v>2214</v>
      </c>
      <c r="H245" s="946" t="s">
        <v>2215</v>
      </c>
    </row>
    <row r="246" spans="1:8" ht="15">
      <c r="A246" s="950" t="s">
        <v>1641</v>
      </c>
      <c r="B246" s="171" t="s">
        <v>1577</v>
      </c>
      <c r="C246" s="955" t="s">
        <v>75</v>
      </c>
      <c r="D246" s="955" t="s">
        <v>89</v>
      </c>
      <c r="G246" s="946" t="s">
        <v>2327</v>
      </c>
      <c r="H246" s="946" t="s">
        <v>2328</v>
      </c>
    </row>
    <row r="247" spans="1:8" ht="15">
      <c r="A247" s="171" t="s">
        <v>1644</v>
      </c>
      <c r="B247" s="171" t="s">
        <v>1579</v>
      </c>
      <c r="C247" s="955" t="s">
        <v>75</v>
      </c>
      <c r="D247" s="955" t="s">
        <v>89</v>
      </c>
      <c r="G247" s="946" t="s">
        <v>2840</v>
      </c>
      <c r="H247" s="946" t="s">
        <v>2841</v>
      </c>
    </row>
    <row r="248" spans="1:8" ht="15">
      <c r="A248" s="950" t="s">
        <v>366</v>
      </c>
      <c r="B248" s="171" t="s">
        <v>365</v>
      </c>
      <c r="C248" s="955" t="s">
        <v>75</v>
      </c>
      <c r="D248" s="955" t="s">
        <v>89</v>
      </c>
      <c r="G248" s="946" t="s">
        <v>2446</v>
      </c>
      <c r="H248" s="946" t="s">
        <v>2447</v>
      </c>
    </row>
    <row r="249" spans="1:8" ht="15">
      <c r="A249" s="168" t="s">
        <v>964</v>
      </c>
      <c r="B249" s="169" t="s">
        <v>963</v>
      </c>
      <c r="C249" s="955" t="s">
        <v>75</v>
      </c>
      <c r="D249" s="955" t="s">
        <v>89</v>
      </c>
      <c r="G249" s="946" t="s">
        <v>2448</v>
      </c>
      <c r="H249" s="946" t="s">
        <v>2449</v>
      </c>
    </row>
    <row r="250" spans="1:8" ht="15">
      <c r="A250" s="950" t="s">
        <v>835</v>
      </c>
      <c r="B250" s="171" t="s">
        <v>834</v>
      </c>
      <c r="C250" s="955" t="s">
        <v>75</v>
      </c>
      <c r="D250" s="955" t="s">
        <v>90</v>
      </c>
      <c r="G250" s="946" t="s">
        <v>2842</v>
      </c>
      <c r="H250" s="946" t="s">
        <v>2843</v>
      </c>
    </row>
    <row r="251" spans="1:8" ht="15">
      <c r="A251" s="168" t="s">
        <v>966</v>
      </c>
      <c r="B251" s="169" t="s">
        <v>965</v>
      </c>
      <c r="C251" s="955" t="s">
        <v>75</v>
      </c>
      <c r="D251" s="955" t="s">
        <v>90</v>
      </c>
      <c r="G251" s="946" t="s">
        <v>2450</v>
      </c>
      <c r="H251" s="946" t="s">
        <v>2451</v>
      </c>
    </row>
    <row r="252" spans="1:8" ht="15">
      <c r="A252" s="950" t="s">
        <v>362</v>
      </c>
      <c r="B252" s="171" t="s">
        <v>361</v>
      </c>
      <c r="C252" s="955" t="s">
        <v>75</v>
      </c>
      <c r="D252" s="955" t="s">
        <v>90</v>
      </c>
      <c r="G252" s="946" t="s">
        <v>2329</v>
      </c>
      <c r="H252" s="946" t="s">
        <v>1526</v>
      </c>
    </row>
    <row r="253" spans="1:8" ht="15">
      <c r="A253" s="699" t="s">
        <v>968</v>
      </c>
      <c r="B253" s="170" t="s">
        <v>967</v>
      </c>
      <c r="C253" s="955" t="s">
        <v>75</v>
      </c>
      <c r="D253" s="955" t="s">
        <v>90</v>
      </c>
      <c r="G253" s="946" t="s">
        <v>2844</v>
      </c>
      <c r="H253" s="946" t="s">
        <v>2845</v>
      </c>
    </row>
    <row r="254" spans="1:8" ht="15">
      <c r="A254" s="951" t="s">
        <v>837</v>
      </c>
      <c r="B254" s="171" t="s">
        <v>836</v>
      </c>
      <c r="C254" s="955" t="s">
        <v>75</v>
      </c>
      <c r="D254" s="955" t="s">
        <v>89</v>
      </c>
      <c r="G254" s="946" t="s">
        <v>2452</v>
      </c>
      <c r="H254" s="946" t="s">
        <v>2453</v>
      </c>
    </row>
    <row r="255" spans="1:8" ht="15">
      <c r="A255" s="699" t="s">
        <v>970</v>
      </c>
      <c r="B255" s="169" t="s">
        <v>969</v>
      </c>
      <c r="C255" s="955" t="s">
        <v>75</v>
      </c>
      <c r="D255" s="955" t="s">
        <v>89</v>
      </c>
      <c r="G255" s="946" t="s">
        <v>2454</v>
      </c>
      <c r="H255" s="946" t="s">
        <v>2455</v>
      </c>
    </row>
    <row r="256" spans="1:8" ht="15">
      <c r="A256" s="951" t="s">
        <v>288</v>
      </c>
      <c r="B256" s="171" t="s">
        <v>287</v>
      </c>
      <c r="C256" s="955" t="s">
        <v>75</v>
      </c>
      <c r="D256" s="955" t="s">
        <v>90</v>
      </c>
      <c r="G256" s="946" t="s">
        <v>2850</v>
      </c>
      <c r="H256" s="946" t="s">
        <v>2851</v>
      </c>
    </row>
    <row r="257" spans="1:8" ht="15">
      <c r="A257" s="699" t="s">
        <v>972</v>
      </c>
      <c r="B257" s="170" t="s">
        <v>971</v>
      </c>
      <c r="C257" s="955" t="s">
        <v>75</v>
      </c>
      <c r="D257" s="955" t="s">
        <v>90</v>
      </c>
      <c r="G257" s="946" t="s">
        <v>2330</v>
      </c>
      <c r="H257" s="946" t="s">
        <v>884</v>
      </c>
    </row>
    <row r="258" spans="1:8" ht="15">
      <c r="A258" s="952" t="s">
        <v>341</v>
      </c>
      <c r="B258" s="169" t="s">
        <v>340</v>
      </c>
      <c r="C258" s="955" t="s">
        <v>75</v>
      </c>
      <c r="D258" s="955" t="s">
        <v>90</v>
      </c>
      <c r="G258" s="946" t="s">
        <v>2836</v>
      </c>
      <c r="H258" s="946" t="s">
        <v>2837</v>
      </c>
    </row>
    <row r="259" spans="1:8" ht="15">
      <c r="A259" s="168" t="s">
        <v>974</v>
      </c>
      <c r="B259" s="169" t="s">
        <v>973</v>
      </c>
      <c r="C259" s="955" t="s">
        <v>75</v>
      </c>
      <c r="D259" s="955" t="s">
        <v>90</v>
      </c>
      <c r="G259" s="946" t="s">
        <v>2855</v>
      </c>
      <c r="H259" s="946" t="s">
        <v>2856</v>
      </c>
    </row>
    <row r="260" spans="1:8" ht="15">
      <c r="A260" s="950" t="s">
        <v>339</v>
      </c>
      <c r="B260" s="171" t="s">
        <v>338</v>
      </c>
      <c r="C260" s="955" t="s">
        <v>75</v>
      </c>
      <c r="D260" s="955" t="s">
        <v>89</v>
      </c>
      <c r="G260" s="946" t="s">
        <v>2838</v>
      </c>
      <c r="H260" s="946" t="s">
        <v>2839</v>
      </c>
    </row>
    <row r="261" spans="1:8" ht="15">
      <c r="A261" s="168" t="s">
        <v>976</v>
      </c>
      <c r="B261" s="169" t="s">
        <v>975</v>
      </c>
      <c r="C261" s="955" t="s">
        <v>75</v>
      </c>
      <c r="D261" s="955" t="s">
        <v>89</v>
      </c>
      <c r="G261" s="946" t="s">
        <v>2456</v>
      </c>
      <c r="H261" s="946" t="s">
        <v>2457</v>
      </c>
    </row>
    <row r="262" spans="1:8" ht="15">
      <c r="A262" s="950" t="s">
        <v>839</v>
      </c>
      <c r="B262" s="171" t="s">
        <v>838</v>
      </c>
      <c r="C262" s="955" t="s">
        <v>75</v>
      </c>
      <c r="D262" s="955" t="s">
        <v>89</v>
      </c>
      <c r="G262" s="946" t="s">
        <v>2456</v>
      </c>
      <c r="H262" s="946" t="s">
        <v>2849</v>
      </c>
    </row>
    <row r="263" spans="1:8" ht="15">
      <c r="A263" s="168" t="s">
        <v>978</v>
      </c>
      <c r="B263" s="169" t="s">
        <v>977</v>
      </c>
      <c r="C263" s="955" t="s">
        <v>75</v>
      </c>
      <c r="D263" s="955" t="s">
        <v>89</v>
      </c>
      <c r="G263" s="946" t="s">
        <v>2331</v>
      </c>
      <c r="H263" s="946" t="s">
        <v>2332</v>
      </c>
    </row>
    <row r="264" spans="1:8" ht="15">
      <c r="A264" s="950" t="s">
        <v>841</v>
      </c>
      <c r="B264" s="171" t="s">
        <v>840</v>
      </c>
      <c r="C264" s="955" t="s">
        <v>75</v>
      </c>
      <c r="D264" s="955" t="s">
        <v>89</v>
      </c>
      <c r="G264" s="946" t="s">
        <v>2333</v>
      </c>
      <c r="H264" s="946" t="s">
        <v>2334</v>
      </c>
    </row>
    <row r="265" spans="1:8" ht="15">
      <c r="A265" s="168" t="s">
        <v>980</v>
      </c>
      <c r="B265" s="169" t="s">
        <v>979</v>
      </c>
      <c r="C265" s="955" t="s">
        <v>75</v>
      </c>
      <c r="D265" s="955" t="s">
        <v>89</v>
      </c>
      <c r="G265" s="946" t="s">
        <v>2335</v>
      </c>
      <c r="H265" s="946" t="s">
        <v>2336</v>
      </c>
    </row>
    <row r="266" spans="1:8" ht="15">
      <c r="A266" s="950" t="s">
        <v>843</v>
      </c>
      <c r="B266" s="171" t="s">
        <v>842</v>
      </c>
      <c r="C266" s="955" t="s">
        <v>75</v>
      </c>
      <c r="D266" s="955" t="s">
        <v>89</v>
      </c>
      <c r="G266" s="946" t="s">
        <v>2852</v>
      </c>
      <c r="H266" s="946" t="s">
        <v>2853</v>
      </c>
    </row>
    <row r="267" spans="1:8" ht="15">
      <c r="A267" s="168" t="s">
        <v>982</v>
      </c>
      <c r="B267" s="169" t="s">
        <v>981</v>
      </c>
      <c r="C267" s="955" t="s">
        <v>75</v>
      </c>
      <c r="D267" s="955" t="s">
        <v>89</v>
      </c>
      <c r="G267" s="946" t="s">
        <v>2830</v>
      </c>
      <c r="H267" s="946" t="s">
        <v>2831</v>
      </c>
    </row>
    <row r="268" spans="1:8" ht="15">
      <c r="A268" s="950" t="s">
        <v>1649</v>
      </c>
      <c r="B268" s="171" t="s">
        <v>1580</v>
      </c>
      <c r="C268" s="955" t="s">
        <v>75</v>
      </c>
      <c r="D268" s="955" t="s">
        <v>89</v>
      </c>
      <c r="G268" s="946" t="s">
        <v>2337</v>
      </c>
      <c r="H268" s="946" t="s">
        <v>2338</v>
      </c>
    </row>
    <row r="269" spans="1:8" ht="15">
      <c r="A269" s="950" t="s">
        <v>845</v>
      </c>
      <c r="B269" s="171" t="s">
        <v>844</v>
      </c>
      <c r="C269" s="955" t="s">
        <v>75</v>
      </c>
      <c r="D269" s="955" t="s">
        <v>89</v>
      </c>
      <c r="G269" s="946" t="s">
        <v>2618</v>
      </c>
      <c r="H269" s="946" t="s">
        <v>2619</v>
      </c>
    </row>
    <row r="270" spans="1:8" ht="15">
      <c r="A270" s="168" t="s">
        <v>984</v>
      </c>
      <c r="B270" s="169" t="s">
        <v>983</v>
      </c>
      <c r="C270" s="955" t="s">
        <v>75</v>
      </c>
      <c r="D270" s="955" t="s">
        <v>89</v>
      </c>
      <c r="G270" s="946" t="s">
        <v>2458</v>
      </c>
      <c r="H270" s="946" t="s">
        <v>2459</v>
      </c>
    </row>
    <row r="271" spans="1:8" ht="15">
      <c r="A271" s="950" t="s">
        <v>1653</v>
      </c>
      <c r="B271" s="171" t="s">
        <v>1584</v>
      </c>
      <c r="C271" s="955" t="s">
        <v>75</v>
      </c>
      <c r="D271" s="955" t="s">
        <v>89</v>
      </c>
      <c r="G271" s="946" t="s">
        <v>2339</v>
      </c>
      <c r="H271" s="946" t="s">
        <v>2340</v>
      </c>
    </row>
    <row r="272" spans="1:8" ht="15">
      <c r="A272" s="950" t="s">
        <v>1655</v>
      </c>
      <c r="B272" s="171" t="s">
        <v>1586</v>
      </c>
      <c r="C272" s="955" t="s">
        <v>75</v>
      </c>
      <c r="D272" s="955" t="s">
        <v>89</v>
      </c>
      <c r="G272" s="946" t="s">
        <v>2341</v>
      </c>
      <c r="H272" s="946" t="s">
        <v>2342</v>
      </c>
    </row>
    <row r="273" spans="1:8" ht="15">
      <c r="A273" s="171" t="s">
        <v>301</v>
      </c>
      <c r="B273" s="171" t="s">
        <v>300</v>
      </c>
      <c r="C273" s="955" t="s">
        <v>75</v>
      </c>
      <c r="D273" s="955" t="s">
        <v>89</v>
      </c>
      <c r="G273" s="946" t="s">
        <v>2343</v>
      </c>
      <c r="H273" s="946" t="s">
        <v>2344</v>
      </c>
    </row>
    <row r="274" spans="1:8" ht="15">
      <c r="A274" s="168" t="s">
        <v>986</v>
      </c>
      <c r="B274" s="169" t="s">
        <v>985</v>
      </c>
      <c r="C274" s="955" t="s">
        <v>75</v>
      </c>
      <c r="D274" s="955" t="s">
        <v>89</v>
      </c>
      <c r="G274" s="946" t="s">
        <v>2038</v>
      </c>
      <c r="H274" s="946" t="s">
        <v>2827</v>
      </c>
    </row>
    <row r="275" spans="1:8" ht="15">
      <c r="A275" s="171" t="s">
        <v>1658</v>
      </c>
      <c r="B275" s="171" t="s">
        <v>1587</v>
      </c>
      <c r="C275" s="955" t="s">
        <v>75</v>
      </c>
      <c r="D275" s="955" t="s">
        <v>89</v>
      </c>
      <c r="G275" s="946" t="s">
        <v>2672</v>
      </c>
      <c r="H275" s="946" t="s">
        <v>2673</v>
      </c>
    </row>
    <row r="276" spans="1:8" ht="15">
      <c r="A276" s="950" t="s">
        <v>374</v>
      </c>
      <c r="B276" s="171" t="s">
        <v>373</v>
      </c>
      <c r="C276" s="955" t="s">
        <v>75</v>
      </c>
      <c r="D276" s="955" t="s">
        <v>89</v>
      </c>
      <c r="G276" s="946" t="s">
        <v>2006</v>
      </c>
      <c r="H276" s="946" t="s">
        <v>2848</v>
      </c>
    </row>
    <row r="277" spans="1:8" ht="15">
      <c r="A277" s="168" t="s">
        <v>988</v>
      </c>
      <c r="B277" s="169" t="s">
        <v>987</v>
      </c>
      <c r="C277" s="955" t="s">
        <v>75</v>
      </c>
      <c r="D277" s="955" t="s">
        <v>89</v>
      </c>
      <c r="G277" s="946" t="s">
        <v>2828</v>
      </c>
      <c r="H277" s="946" t="s">
        <v>2829</v>
      </c>
    </row>
    <row r="278" spans="1:8" ht="15">
      <c r="A278" s="950" t="s">
        <v>1664</v>
      </c>
      <c r="B278" s="171" t="s">
        <v>1592</v>
      </c>
      <c r="C278" s="955" t="s">
        <v>75</v>
      </c>
      <c r="D278" s="955" t="s">
        <v>89</v>
      </c>
      <c r="G278" s="946" t="s">
        <v>2566</v>
      </c>
      <c r="H278" s="946" t="s">
        <v>2567</v>
      </c>
    </row>
    <row r="279" spans="1:8" ht="15">
      <c r="A279" s="167" t="s">
        <v>1717</v>
      </c>
      <c r="B279" s="171" t="s">
        <v>1718</v>
      </c>
      <c r="C279" s="955" t="s">
        <v>75</v>
      </c>
      <c r="D279" s="955" t="s">
        <v>90</v>
      </c>
      <c r="G279" s="946" t="s">
        <v>2791</v>
      </c>
      <c r="H279" s="946" t="s">
        <v>2792</v>
      </c>
    </row>
    <row r="280" spans="1:8" ht="15">
      <c r="A280" s="950" t="s">
        <v>377</v>
      </c>
      <c r="B280" s="171" t="s">
        <v>1594</v>
      </c>
      <c r="C280" s="955" t="s">
        <v>75</v>
      </c>
      <c r="D280" s="955" t="s">
        <v>89</v>
      </c>
      <c r="G280" s="946" t="s">
        <v>2777</v>
      </c>
      <c r="H280" s="946" t="s">
        <v>2778</v>
      </c>
    </row>
    <row r="281" spans="1:8" ht="15">
      <c r="A281" s="950" t="s">
        <v>1675</v>
      </c>
      <c r="B281" s="171" t="s">
        <v>1603</v>
      </c>
      <c r="C281" s="955" t="s">
        <v>75</v>
      </c>
      <c r="D281" s="955" t="s">
        <v>89</v>
      </c>
      <c r="G281" s="946" t="s">
        <v>2345</v>
      </c>
      <c r="H281" s="946" t="s">
        <v>2346</v>
      </c>
    </row>
    <row r="282" spans="1:8" ht="15">
      <c r="A282" s="950" t="s">
        <v>351</v>
      </c>
      <c r="B282" s="171" t="s">
        <v>350</v>
      </c>
      <c r="C282" s="955" t="s">
        <v>75</v>
      </c>
      <c r="D282" s="955" t="s">
        <v>89</v>
      </c>
      <c r="G282" s="946" t="s">
        <v>2725</v>
      </c>
      <c r="H282" s="946" t="s">
        <v>2726</v>
      </c>
    </row>
    <row r="283" spans="1:8" ht="15">
      <c r="A283" s="168" t="s">
        <v>990</v>
      </c>
      <c r="B283" s="169" t="s">
        <v>989</v>
      </c>
      <c r="C283" s="955" t="s">
        <v>75</v>
      </c>
      <c r="D283" s="955" t="s">
        <v>89</v>
      </c>
      <c r="G283" s="946" t="s">
        <v>2348</v>
      </c>
      <c r="H283" s="946" t="s">
        <v>2349</v>
      </c>
    </row>
    <row r="284" spans="1:8" ht="15">
      <c r="A284" s="950" t="s">
        <v>1667</v>
      </c>
      <c r="B284" s="171" t="s">
        <v>1596</v>
      </c>
      <c r="C284" s="955" t="s">
        <v>75</v>
      </c>
      <c r="D284" s="955" t="s">
        <v>89</v>
      </c>
      <c r="G284" s="946" t="s">
        <v>2071</v>
      </c>
      <c r="H284" s="946" t="s">
        <v>2802</v>
      </c>
    </row>
    <row r="285" spans="1:8" ht="15">
      <c r="A285" s="950" t="s">
        <v>376</v>
      </c>
      <c r="B285" s="171" t="s">
        <v>375</v>
      </c>
      <c r="C285" s="955" t="s">
        <v>75</v>
      </c>
      <c r="D285" s="955" t="s">
        <v>89</v>
      </c>
      <c r="G285" s="946" t="s">
        <v>2144</v>
      </c>
      <c r="H285" s="946" t="s">
        <v>2713</v>
      </c>
    </row>
    <row r="286" spans="1:8" ht="15">
      <c r="A286" s="168" t="s">
        <v>992</v>
      </c>
      <c r="B286" s="169" t="s">
        <v>991</v>
      </c>
      <c r="C286" s="955" t="s">
        <v>75</v>
      </c>
      <c r="D286" s="955" t="s">
        <v>89</v>
      </c>
      <c r="G286" s="946" t="s">
        <v>2687</v>
      </c>
      <c r="H286" s="946" t="s">
        <v>2688</v>
      </c>
    </row>
    <row r="287" spans="1:8" ht="15">
      <c r="A287" s="950" t="s">
        <v>1669</v>
      </c>
      <c r="B287" s="171" t="s">
        <v>1598</v>
      </c>
      <c r="C287" s="955" t="s">
        <v>75</v>
      </c>
      <c r="D287" s="955" t="s">
        <v>89</v>
      </c>
      <c r="G287" s="946" t="s">
        <v>2789</v>
      </c>
      <c r="H287" s="946" t="s">
        <v>2790</v>
      </c>
    </row>
    <row r="288" spans="1:8" ht="15">
      <c r="A288" s="950" t="s">
        <v>349</v>
      </c>
      <c r="B288" s="171" t="s">
        <v>348</v>
      </c>
      <c r="C288" s="955" t="s">
        <v>75</v>
      </c>
      <c r="D288" s="955" t="s">
        <v>89</v>
      </c>
      <c r="G288" s="946" t="s">
        <v>2350</v>
      </c>
      <c r="H288" s="946" t="s">
        <v>2351</v>
      </c>
    </row>
    <row r="289" spans="1:8" ht="15">
      <c r="A289" s="168" t="s">
        <v>994</v>
      </c>
      <c r="B289" s="169" t="s">
        <v>993</v>
      </c>
      <c r="C289" s="955" t="s">
        <v>75</v>
      </c>
      <c r="D289" s="955" t="s">
        <v>89</v>
      </c>
      <c r="G289" s="946" t="s">
        <v>2352</v>
      </c>
      <c r="H289" s="946" t="s">
        <v>2353</v>
      </c>
    </row>
    <row r="290" spans="1:8" ht="15">
      <c r="A290" s="950" t="s">
        <v>1672</v>
      </c>
      <c r="B290" s="171" t="s">
        <v>1601</v>
      </c>
      <c r="C290" s="955" t="s">
        <v>75</v>
      </c>
      <c r="D290" s="955" t="s">
        <v>89</v>
      </c>
      <c r="G290" s="946" t="s">
        <v>2798</v>
      </c>
      <c r="H290" s="946" t="s">
        <v>2799</v>
      </c>
    </row>
    <row r="291" spans="1:8" ht="15">
      <c r="A291" s="167" t="s">
        <v>1713</v>
      </c>
      <c r="B291" s="171" t="s">
        <v>1714</v>
      </c>
      <c r="C291" s="955" t="s">
        <v>75</v>
      </c>
      <c r="D291" s="955" t="s">
        <v>90</v>
      </c>
      <c r="G291" s="946" t="s">
        <v>2808</v>
      </c>
      <c r="H291" s="946" t="s">
        <v>2809</v>
      </c>
    </row>
    <row r="292" spans="1:8" ht="15">
      <c r="A292" s="950" t="s">
        <v>1677</v>
      </c>
      <c r="B292" s="171" t="s">
        <v>1605</v>
      </c>
      <c r="C292" s="955" t="s">
        <v>75</v>
      </c>
      <c r="D292" s="955" t="s">
        <v>89</v>
      </c>
      <c r="G292" s="946" t="s">
        <v>2767</v>
      </c>
      <c r="H292" s="946" t="s">
        <v>2768</v>
      </c>
    </row>
    <row r="293" spans="1:8" ht="15">
      <c r="A293" s="950" t="s">
        <v>1681</v>
      </c>
      <c r="B293" s="957" t="s">
        <v>1609</v>
      </c>
      <c r="C293" s="955" t="s">
        <v>75</v>
      </c>
      <c r="D293" s="955" t="s">
        <v>89</v>
      </c>
      <c r="G293" s="946" t="s">
        <v>2832</v>
      </c>
      <c r="H293" s="946" t="s">
        <v>2833</v>
      </c>
    </row>
    <row r="294" spans="1:8" ht="15">
      <c r="A294" s="950" t="s">
        <v>847</v>
      </c>
      <c r="B294" s="957" t="s">
        <v>846</v>
      </c>
      <c r="C294" s="955" t="s">
        <v>75</v>
      </c>
      <c r="D294" s="955" t="s">
        <v>89</v>
      </c>
      <c r="G294" s="946" t="s">
        <v>2658</v>
      </c>
      <c r="H294" s="946" t="s">
        <v>2705</v>
      </c>
    </row>
    <row r="295" spans="1:8" ht="15">
      <c r="A295" s="168" t="s">
        <v>996</v>
      </c>
      <c r="B295" s="170" t="s">
        <v>995</v>
      </c>
      <c r="C295" s="955" t="s">
        <v>75</v>
      </c>
      <c r="D295" s="955" t="s">
        <v>89</v>
      </c>
      <c r="G295" s="946" t="s">
        <v>2814</v>
      </c>
      <c r="H295" s="946" t="s">
        <v>2815</v>
      </c>
    </row>
    <row r="296" spans="1:8" ht="15">
      <c r="A296" s="950" t="s">
        <v>370</v>
      </c>
      <c r="B296" s="957" t="s">
        <v>369</v>
      </c>
      <c r="C296" s="955" t="s">
        <v>75</v>
      </c>
      <c r="D296" s="955" t="s">
        <v>89</v>
      </c>
      <c r="G296" s="946" t="s">
        <v>2811</v>
      </c>
      <c r="H296" s="946" t="s">
        <v>2812</v>
      </c>
    </row>
    <row r="297" spans="1:8" ht="15">
      <c r="A297" s="168" t="s">
        <v>998</v>
      </c>
      <c r="B297" s="170" t="s">
        <v>997</v>
      </c>
      <c r="C297" s="955" t="s">
        <v>75</v>
      </c>
      <c r="D297" s="955" t="s">
        <v>89</v>
      </c>
      <c r="G297" s="946" t="s">
        <v>2658</v>
      </c>
      <c r="H297" s="946" t="s">
        <v>2659</v>
      </c>
    </row>
    <row r="298" spans="1:8" ht="15">
      <c r="A298" s="950" t="s">
        <v>284</v>
      </c>
      <c r="B298" s="171" t="s">
        <v>283</v>
      </c>
      <c r="C298" s="955" t="s">
        <v>75</v>
      </c>
      <c r="D298" s="955" t="s">
        <v>90</v>
      </c>
      <c r="G298" s="946" t="s">
        <v>2460</v>
      </c>
      <c r="H298" s="946" t="s">
        <v>2728</v>
      </c>
    </row>
    <row r="299" spans="1:8" ht="15">
      <c r="A299" s="168" t="s">
        <v>1000</v>
      </c>
      <c r="B299" s="169" t="s">
        <v>999</v>
      </c>
      <c r="C299" s="955" t="s">
        <v>75</v>
      </c>
      <c r="D299" s="955" t="s">
        <v>90</v>
      </c>
      <c r="G299" s="946" t="s">
        <v>2460</v>
      </c>
      <c r="H299" s="946" t="s">
        <v>2461</v>
      </c>
    </row>
    <row r="300" spans="1:8" ht="15">
      <c r="A300" s="950" t="s">
        <v>315</v>
      </c>
      <c r="B300" s="171" t="s">
        <v>314</v>
      </c>
      <c r="C300" s="955" t="s">
        <v>75</v>
      </c>
      <c r="D300" s="955" t="s">
        <v>90</v>
      </c>
      <c r="G300" s="946" t="s">
        <v>2754</v>
      </c>
      <c r="H300" s="946" t="s">
        <v>2755</v>
      </c>
    </row>
    <row r="301" spans="1:8" ht="15">
      <c r="A301" s="168" t="s">
        <v>1002</v>
      </c>
      <c r="B301" s="169" t="s">
        <v>1001</v>
      </c>
      <c r="C301" s="955" t="s">
        <v>75</v>
      </c>
      <c r="D301" s="955" t="s">
        <v>90</v>
      </c>
      <c r="G301" s="946" t="s">
        <v>2787</v>
      </c>
      <c r="H301" s="946" t="s">
        <v>2788</v>
      </c>
    </row>
    <row r="302" spans="1:8" ht="15">
      <c r="A302" s="167" t="s">
        <v>1730</v>
      </c>
      <c r="B302" s="171" t="s">
        <v>1731</v>
      </c>
      <c r="C302" s="955" t="s">
        <v>75</v>
      </c>
      <c r="D302" s="955" t="s">
        <v>90</v>
      </c>
      <c r="G302" s="946" t="s">
        <v>2668</v>
      </c>
      <c r="H302" s="946" t="s">
        <v>2669</v>
      </c>
    </row>
    <row r="303" spans="1:8" ht="15">
      <c r="A303" s="950" t="s">
        <v>286</v>
      </c>
      <c r="B303" s="171" t="s">
        <v>1611</v>
      </c>
      <c r="C303" s="955" t="s">
        <v>75</v>
      </c>
      <c r="D303" s="955" t="s">
        <v>89</v>
      </c>
      <c r="G303" s="946" t="s">
        <v>2794</v>
      </c>
      <c r="H303" s="946" t="s">
        <v>2795</v>
      </c>
    </row>
    <row r="304" spans="1:8" ht="15">
      <c r="A304" s="950" t="s">
        <v>1687</v>
      </c>
      <c r="B304" s="171" t="s">
        <v>1613</v>
      </c>
      <c r="C304" s="955" t="s">
        <v>75</v>
      </c>
      <c r="D304" s="955" t="s">
        <v>89</v>
      </c>
      <c r="G304" s="946" t="s">
        <v>2816</v>
      </c>
      <c r="H304" s="946" t="s">
        <v>2817</v>
      </c>
    </row>
    <row r="305" spans="1:8" ht="15">
      <c r="A305" s="950" t="s">
        <v>1689</v>
      </c>
      <c r="B305" s="171" t="s">
        <v>1615</v>
      </c>
      <c r="C305" s="955" t="s">
        <v>75</v>
      </c>
      <c r="D305" s="955" t="s">
        <v>89</v>
      </c>
      <c r="G305" s="946" t="s">
        <v>2820</v>
      </c>
      <c r="H305" s="946" t="s">
        <v>2821</v>
      </c>
    </row>
    <row r="306" spans="1:8" ht="15">
      <c r="A306" s="950" t="s">
        <v>849</v>
      </c>
      <c r="B306" s="171" t="s">
        <v>848</v>
      </c>
      <c r="C306" s="955" t="s">
        <v>75</v>
      </c>
      <c r="D306" s="955" t="s">
        <v>89</v>
      </c>
      <c r="G306" s="946" t="s">
        <v>2729</v>
      </c>
      <c r="H306" s="946" t="s">
        <v>2730</v>
      </c>
    </row>
    <row r="307" spans="1:8" ht="15">
      <c r="A307" s="168" t="s">
        <v>1004</v>
      </c>
      <c r="B307" s="169" t="s">
        <v>1003</v>
      </c>
      <c r="C307" s="955" t="s">
        <v>75</v>
      </c>
      <c r="D307" s="955" t="s">
        <v>89</v>
      </c>
      <c r="G307" s="946" t="s">
        <v>2462</v>
      </c>
      <c r="H307" s="946" t="s">
        <v>2137</v>
      </c>
    </row>
    <row r="308" spans="1:8" ht="15">
      <c r="A308" s="950" t="s">
        <v>379</v>
      </c>
      <c r="B308" s="171" t="s">
        <v>378</v>
      </c>
      <c r="C308" s="955" t="s">
        <v>75</v>
      </c>
      <c r="D308" s="955" t="s">
        <v>89</v>
      </c>
      <c r="G308" s="946" t="s">
        <v>2135</v>
      </c>
      <c r="H308" s="946" t="s">
        <v>2136</v>
      </c>
    </row>
    <row r="309" spans="1:8" ht="15">
      <c r="A309" s="169" t="s">
        <v>1006</v>
      </c>
      <c r="B309" s="169" t="s">
        <v>1005</v>
      </c>
      <c r="C309" s="955" t="s">
        <v>75</v>
      </c>
      <c r="D309" s="955" t="s">
        <v>89</v>
      </c>
      <c r="G309" s="946" t="s">
        <v>2216</v>
      </c>
      <c r="H309" s="946" t="s">
        <v>2217</v>
      </c>
    </row>
    <row r="310" spans="1:8" ht="15">
      <c r="A310" s="950" t="s">
        <v>1691</v>
      </c>
      <c r="B310" s="171" t="s">
        <v>1617</v>
      </c>
      <c r="C310" s="955" t="s">
        <v>75</v>
      </c>
      <c r="D310" s="955" t="s">
        <v>89</v>
      </c>
      <c r="G310" s="946" t="s">
        <v>1523</v>
      </c>
      <c r="H310" s="946" t="s">
        <v>2781</v>
      </c>
    </row>
    <row r="311" spans="1:8" ht="15">
      <c r="A311" s="950" t="s">
        <v>1693</v>
      </c>
      <c r="B311" s="171" t="s">
        <v>1619</v>
      </c>
      <c r="C311" s="955" t="s">
        <v>75</v>
      </c>
      <c r="D311" s="955" t="s">
        <v>89</v>
      </c>
      <c r="G311" s="946" t="s">
        <v>1442</v>
      </c>
      <c r="H311" s="946" t="s">
        <v>2770</v>
      </c>
    </row>
    <row r="312" spans="1:8" ht="15">
      <c r="A312" s="950" t="s">
        <v>1695</v>
      </c>
      <c r="B312" s="171" t="s">
        <v>1621</v>
      </c>
      <c r="C312" s="955" t="s">
        <v>75</v>
      </c>
      <c r="D312" s="955" t="s">
        <v>89</v>
      </c>
      <c r="G312" s="946" t="s">
        <v>399</v>
      </c>
      <c r="H312" s="946" t="s">
        <v>2706</v>
      </c>
    </row>
    <row r="313" spans="1:8" ht="15">
      <c r="A313" s="950" t="s">
        <v>851</v>
      </c>
      <c r="B313" s="171" t="s">
        <v>850</v>
      </c>
      <c r="C313" s="955" t="s">
        <v>75</v>
      </c>
      <c r="D313" s="955" t="s">
        <v>89</v>
      </c>
      <c r="G313" s="946" t="s">
        <v>2757</v>
      </c>
      <c r="H313" s="946" t="s">
        <v>2759</v>
      </c>
    </row>
    <row r="314" spans="1:8" ht="15">
      <c r="A314" s="169" t="s">
        <v>1008</v>
      </c>
      <c r="B314" s="169" t="s">
        <v>1007</v>
      </c>
      <c r="C314" s="955" t="s">
        <v>75</v>
      </c>
      <c r="D314" s="955" t="s">
        <v>89</v>
      </c>
      <c r="G314" s="946" t="s">
        <v>938</v>
      </c>
      <c r="H314" s="946" t="s">
        <v>2612</v>
      </c>
    </row>
    <row r="315" spans="1:8" ht="15">
      <c r="A315" s="950" t="s">
        <v>388</v>
      </c>
      <c r="B315" s="171" t="s">
        <v>387</v>
      </c>
      <c r="C315" s="955" t="s">
        <v>75</v>
      </c>
      <c r="D315" s="955" t="s">
        <v>89</v>
      </c>
      <c r="G315" s="946" t="s">
        <v>1407</v>
      </c>
      <c r="H315" s="946" t="s">
        <v>2696</v>
      </c>
    </row>
    <row r="316" spans="1:8" ht="15">
      <c r="A316" s="169" t="s">
        <v>1010</v>
      </c>
      <c r="B316" s="169" t="s">
        <v>1009</v>
      </c>
      <c r="C316" s="955" t="s">
        <v>75</v>
      </c>
      <c r="D316" s="955" t="s">
        <v>89</v>
      </c>
      <c r="G316" s="946" t="s">
        <v>1374</v>
      </c>
      <c r="H316" s="946" t="s">
        <v>2113</v>
      </c>
    </row>
    <row r="317" spans="1:8" ht="15">
      <c r="A317" s="950" t="s">
        <v>1697</v>
      </c>
      <c r="B317" s="171" t="s">
        <v>1623</v>
      </c>
      <c r="C317" s="955" t="s">
        <v>75</v>
      </c>
      <c r="D317" s="955" t="s">
        <v>89</v>
      </c>
      <c r="G317" s="946" t="s">
        <v>2111</v>
      </c>
      <c r="H317" s="946" t="s">
        <v>2112</v>
      </c>
    </row>
    <row r="318" spans="1:8" ht="15">
      <c r="A318" s="950" t="s">
        <v>372</v>
      </c>
      <c r="B318" s="171" t="s">
        <v>371</v>
      </c>
      <c r="C318" s="955" t="s">
        <v>75</v>
      </c>
      <c r="D318" s="955" t="s">
        <v>89</v>
      </c>
      <c r="G318" s="946" t="s">
        <v>1259</v>
      </c>
      <c r="H318" s="946" t="s">
        <v>2648</v>
      </c>
    </row>
    <row r="319" spans="1:8" ht="15">
      <c r="A319" s="169" t="s">
        <v>1012</v>
      </c>
      <c r="B319" s="169" t="s">
        <v>1011</v>
      </c>
      <c r="C319" s="955" t="s">
        <v>75</v>
      </c>
      <c r="D319" s="955" t="s">
        <v>89</v>
      </c>
      <c r="G319" s="946" t="s">
        <v>2624</v>
      </c>
      <c r="H319" s="946" t="s">
        <v>2626</v>
      </c>
    </row>
    <row r="320" spans="1:8" ht="15">
      <c r="A320" s="950" t="s">
        <v>333</v>
      </c>
      <c r="B320" s="171" t="s">
        <v>332</v>
      </c>
      <c r="C320" s="955" t="s">
        <v>75</v>
      </c>
      <c r="D320" s="955" t="s">
        <v>90</v>
      </c>
      <c r="G320" s="946" t="s">
        <v>1342</v>
      </c>
      <c r="H320" s="946" t="s">
        <v>2679</v>
      </c>
    </row>
    <row r="321" spans="1:8" ht="15">
      <c r="A321" s="169" t="s">
        <v>1014</v>
      </c>
      <c r="B321" s="169" t="s">
        <v>1013</v>
      </c>
      <c r="C321" s="955" t="s">
        <v>75</v>
      </c>
      <c r="D321" s="955" t="s">
        <v>90</v>
      </c>
      <c r="G321" s="946" t="s">
        <v>1249</v>
      </c>
      <c r="H321" s="946" t="s">
        <v>2735</v>
      </c>
    </row>
    <row r="322" spans="1:8" ht="15">
      <c r="A322" s="167" t="s">
        <v>1721</v>
      </c>
      <c r="B322" s="171" t="s">
        <v>1722</v>
      </c>
      <c r="C322" s="955" t="s">
        <v>75</v>
      </c>
      <c r="D322" s="955" t="s">
        <v>90</v>
      </c>
      <c r="G322" s="946" t="s">
        <v>1445</v>
      </c>
      <c r="H322" s="946" t="s">
        <v>2641</v>
      </c>
    </row>
    <row r="323" spans="1:8" ht="15">
      <c r="A323" s="950" t="s">
        <v>1710</v>
      </c>
      <c r="B323" s="171" t="s">
        <v>1635</v>
      </c>
      <c r="C323" s="955" t="s">
        <v>75</v>
      </c>
      <c r="D323" s="955" t="s">
        <v>89</v>
      </c>
      <c r="G323" s="946" t="s">
        <v>1252</v>
      </c>
      <c r="H323" s="946" t="s">
        <v>2586</v>
      </c>
    </row>
    <row r="324" spans="1:8" ht="15">
      <c r="A324" s="950" t="s">
        <v>853</v>
      </c>
      <c r="B324" s="171" t="s">
        <v>852</v>
      </c>
      <c r="C324" s="955" t="s">
        <v>75</v>
      </c>
      <c r="D324" s="955" t="s">
        <v>89</v>
      </c>
      <c r="G324" s="946" t="s">
        <v>1283</v>
      </c>
      <c r="H324" s="946" t="s">
        <v>2685</v>
      </c>
    </row>
    <row r="325" spans="1:8" ht="15">
      <c r="A325" s="169" t="s">
        <v>1016</v>
      </c>
      <c r="B325" s="169" t="s">
        <v>1015</v>
      </c>
      <c r="C325" s="955" t="s">
        <v>75</v>
      </c>
      <c r="D325" s="955" t="s">
        <v>89</v>
      </c>
      <c r="G325" s="946" t="s">
        <v>1414</v>
      </c>
      <c r="H325" s="946" t="s">
        <v>2694</v>
      </c>
    </row>
    <row r="326" spans="1:8" ht="15">
      <c r="A326" s="167" t="s">
        <v>395</v>
      </c>
      <c r="B326" s="166" t="s">
        <v>394</v>
      </c>
      <c r="C326" s="955" t="s">
        <v>75</v>
      </c>
      <c r="D326" s="955" t="s">
        <v>98</v>
      </c>
      <c r="G326" s="946" t="s">
        <v>2354</v>
      </c>
      <c r="H326" s="946" t="s">
        <v>2355</v>
      </c>
    </row>
    <row r="327" spans="1:8" ht="15">
      <c r="A327" s="169" t="s">
        <v>1018</v>
      </c>
      <c r="B327" s="169" t="s">
        <v>1017</v>
      </c>
      <c r="C327" s="955" t="s">
        <v>75</v>
      </c>
      <c r="D327" s="955">
        <v>0</v>
      </c>
      <c r="G327" s="946" t="s">
        <v>1157</v>
      </c>
      <c r="H327" s="946" t="s">
        <v>2563</v>
      </c>
    </row>
    <row r="328" spans="1:8" ht="15">
      <c r="A328" s="171" t="s">
        <v>1703</v>
      </c>
      <c r="B328" s="171" t="s">
        <v>1628</v>
      </c>
      <c r="C328" s="955" t="s">
        <v>75</v>
      </c>
      <c r="D328" s="955" t="s">
        <v>89</v>
      </c>
      <c r="G328" s="946" t="s">
        <v>932</v>
      </c>
      <c r="H328" s="946" t="s">
        <v>2159</v>
      </c>
    </row>
    <row r="329" spans="1:8" ht="15">
      <c r="A329" s="171" t="s">
        <v>1705</v>
      </c>
      <c r="B329" s="171" t="s">
        <v>1630</v>
      </c>
      <c r="C329" s="955" t="s">
        <v>75</v>
      </c>
      <c r="D329" s="955" t="s">
        <v>89</v>
      </c>
      <c r="G329" s="946" t="s">
        <v>934</v>
      </c>
      <c r="H329" s="946" t="s">
        <v>2561</v>
      </c>
    </row>
    <row r="330" spans="1:8" ht="15">
      <c r="A330" s="950" t="s">
        <v>390</v>
      </c>
      <c r="B330" s="171" t="s">
        <v>389</v>
      </c>
      <c r="C330" s="955" t="s">
        <v>75</v>
      </c>
      <c r="D330" s="955" t="s">
        <v>89</v>
      </c>
      <c r="G330" s="946" t="s">
        <v>1186</v>
      </c>
      <c r="H330" s="946" t="s">
        <v>2632</v>
      </c>
    </row>
    <row r="331" spans="1:8" ht="15">
      <c r="A331" s="169" t="s">
        <v>1020</v>
      </c>
      <c r="B331" s="169" t="s">
        <v>1019</v>
      </c>
      <c r="C331" s="955" t="s">
        <v>75</v>
      </c>
      <c r="D331" s="955" t="s">
        <v>89</v>
      </c>
      <c r="G331" s="946" t="s">
        <v>1180</v>
      </c>
      <c r="H331" s="946" t="s">
        <v>2581</v>
      </c>
    </row>
    <row r="332" spans="1:8" ht="15">
      <c r="A332" s="167" t="s">
        <v>297</v>
      </c>
      <c r="B332" s="166" t="s">
        <v>296</v>
      </c>
      <c r="C332" s="955" t="s">
        <v>75</v>
      </c>
      <c r="D332" s="955" t="s">
        <v>95</v>
      </c>
      <c r="G332" s="946" t="s">
        <v>2357</v>
      </c>
      <c r="H332" s="946" t="s">
        <v>2358</v>
      </c>
    </row>
    <row r="333" spans="1:8" ht="15">
      <c r="A333" s="169" t="s">
        <v>1022</v>
      </c>
      <c r="B333" s="169" t="s">
        <v>1021</v>
      </c>
      <c r="C333" s="955" t="s">
        <v>75</v>
      </c>
      <c r="D333" s="955" t="s">
        <v>95</v>
      </c>
      <c r="G333" s="946" t="s">
        <v>1286</v>
      </c>
      <c r="H333" s="946" t="s">
        <v>2702</v>
      </c>
    </row>
    <row r="334" spans="1:8" ht="15">
      <c r="A334" s="168" t="s">
        <v>317</v>
      </c>
      <c r="B334" s="169" t="s">
        <v>316</v>
      </c>
      <c r="C334" s="955" t="s">
        <v>75</v>
      </c>
      <c r="D334" s="955" t="s">
        <v>94</v>
      </c>
      <c r="G334" s="946" t="s">
        <v>1206</v>
      </c>
      <c r="H334" s="946" t="s">
        <v>2588</v>
      </c>
    </row>
    <row r="335" spans="1:8" ht="15">
      <c r="A335" s="169" t="s">
        <v>1024</v>
      </c>
      <c r="B335" s="169" t="s">
        <v>1023</v>
      </c>
      <c r="C335" s="955" t="s">
        <v>75</v>
      </c>
      <c r="D335" s="955" t="s">
        <v>94</v>
      </c>
      <c r="G335" s="946" t="s">
        <v>1154</v>
      </c>
      <c r="H335" s="946" t="s">
        <v>2592</v>
      </c>
    </row>
    <row r="336" spans="1:8" ht="15">
      <c r="A336" s="168" t="s">
        <v>290</v>
      </c>
      <c r="B336" s="169" t="s">
        <v>289</v>
      </c>
      <c r="C336" s="955" t="s">
        <v>75</v>
      </c>
      <c r="D336" s="955" t="s">
        <v>94</v>
      </c>
      <c r="G336" s="946" t="s">
        <v>1237</v>
      </c>
      <c r="H336" s="946" t="s">
        <v>2637</v>
      </c>
    </row>
    <row r="337" spans="1:8" ht="15">
      <c r="A337" s="169" t="s">
        <v>1026</v>
      </c>
      <c r="B337" s="169" t="s">
        <v>1025</v>
      </c>
      <c r="C337" s="955" t="s">
        <v>75</v>
      </c>
      <c r="D337" s="955" t="s">
        <v>94</v>
      </c>
      <c r="G337" s="946" t="s">
        <v>1315</v>
      </c>
      <c r="H337" s="946" t="s">
        <v>2470</v>
      </c>
    </row>
    <row r="338" spans="1:8" ht="15">
      <c r="A338" s="167" t="s">
        <v>1725</v>
      </c>
      <c r="B338" s="171" t="s">
        <v>1632</v>
      </c>
      <c r="C338" s="955" t="s">
        <v>75</v>
      </c>
      <c r="D338" s="955" t="s">
        <v>90</v>
      </c>
      <c r="G338" s="946" t="s">
        <v>1308</v>
      </c>
      <c r="H338" s="946" t="s">
        <v>2662</v>
      </c>
    </row>
    <row r="339" spans="1:8" ht="15">
      <c r="A339" s="950" t="s">
        <v>1708</v>
      </c>
      <c r="B339" s="171" t="s">
        <v>1633</v>
      </c>
      <c r="C339" s="955" t="s">
        <v>75</v>
      </c>
      <c r="D339" s="955" t="s">
        <v>89</v>
      </c>
      <c r="G339" s="946" t="s">
        <v>1333</v>
      </c>
      <c r="H339" s="946" t="s">
        <v>2653</v>
      </c>
    </row>
    <row r="340" spans="1:8" ht="15">
      <c r="A340" s="950" t="s">
        <v>1701</v>
      </c>
      <c r="B340" s="171" t="s">
        <v>1626</v>
      </c>
      <c r="C340" s="955" t="s">
        <v>75</v>
      </c>
      <c r="D340" s="955" t="s">
        <v>89</v>
      </c>
      <c r="G340" s="946" t="s">
        <v>936</v>
      </c>
      <c r="H340" s="946" t="s">
        <v>2463</v>
      </c>
    </row>
    <row r="341" spans="1:8" ht="15">
      <c r="A341" s="950" t="s">
        <v>855</v>
      </c>
      <c r="B341" s="171" t="s">
        <v>854</v>
      </c>
      <c r="C341" s="955" t="s">
        <v>75</v>
      </c>
      <c r="D341" s="955" t="s">
        <v>89</v>
      </c>
      <c r="G341" s="946" t="s">
        <v>1332</v>
      </c>
      <c r="H341" s="946" t="s">
        <v>2604</v>
      </c>
    </row>
    <row r="342" spans="1:8" ht="15">
      <c r="A342" s="169" t="s">
        <v>1028</v>
      </c>
      <c r="B342" s="169" t="s">
        <v>1027</v>
      </c>
      <c r="C342" s="955" t="s">
        <v>75</v>
      </c>
      <c r="D342" s="955" t="s">
        <v>89</v>
      </c>
      <c r="G342" s="946" t="s">
        <v>1469</v>
      </c>
      <c r="H342" s="946" t="s">
        <v>2709</v>
      </c>
    </row>
    <row r="343" spans="1:8" ht="15">
      <c r="A343" s="950" t="s">
        <v>313</v>
      </c>
      <c r="B343" s="171" t="s">
        <v>312</v>
      </c>
      <c r="C343" s="955" t="s">
        <v>75</v>
      </c>
      <c r="D343" s="955" t="s">
        <v>90</v>
      </c>
      <c r="G343" s="946" t="s">
        <v>1366</v>
      </c>
      <c r="H343" s="946" t="s">
        <v>2594</v>
      </c>
    </row>
    <row r="344" spans="1:8" ht="15">
      <c r="A344" s="169" t="s">
        <v>1030</v>
      </c>
      <c r="B344" s="169" t="s">
        <v>1029</v>
      </c>
      <c r="C344" s="955" t="s">
        <v>75</v>
      </c>
      <c r="D344" s="955" t="s">
        <v>90</v>
      </c>
      <c r="G344" s="946" t="s">
        <v>1362</v>
      </c>
      <c r="H344" s="946" t="s">
        <v>2614</v>
      </c>
    </row>
    <row r="345" spans="1:8" ht="15">
      <c r="A345" s="168" t="s">
        <v>438</v>
      </c>
      <c r="B345" s="169" t="s">
        <v>437</v>
      </c>
      <c r="C345" s="955" t="s">
        <v>75</v>
      </c>
      <c r="D345" s="955" t="s">
        <v>96</v>
      </c>
      <c r="G345" s="946" t="s">
        <v>1296</v>
      </c>
      <c r="H345" s="946" t="s">
        <v>2597</v>
      </c>
    </row>
    <row r="346" spans="1:8" ht="15">
      <c r="A346" s="169" t="s">
        <v>1032</v>
      </c>
      <c r="B346" s="169" t="s">
        <v>1031</v>
      </c>
      <c r="C346" s="955" t="s">
        <v>75</v>
      </c>
      <c r="D346" s="955" t="s">
        <v>89</v>
      </c>
      <c r="G346" s="946" t="s">
        <v>1395</v>
      </c>
      <c r="H346" s="946" t="s">
        <v>2635</v>
      </c>
    </row>
    <row r="347" spans="1:8" ht="15">
      <c r="A347" s="167" t="s">
        <v>1734</v>
      </c>
      <c r="B347" s="166" t="s">
        <v>1735</v>
      </c>
      <c r="C347" s="955" t="s">
        <v>144</v>
      </c>
      <c r="D347" s="955" t="s">
        <v>146</v>
      </c>
      <c r="G347" s="946" t="s">
        <v>1483</v>
      </c>
      <c r="H347" s="946" t="s">
        <v>2780</v>
      </c>
    </row>
    <row r="348" spans="1:8" ht="15">
      <c r="A348" s="167" t="s">
        <v>857</v>
      </c>
      <c r="B348" s="166" t="s">
        <v>856</v>
      </c>
      <c r="C348" s="955" t="s">
        <v>144</v>
      </c>
      <c r="D348" s="955" t="s">
        <v>181</v>
      </c>
      <c r="G348" s="946" t="s">
        <v>1442</v>
      </c>
      <c r="H348" s="946" t="s">
        <v>2769</v>
      </c>
    </row>
    <row r="349" spans="1:8" ht="15">
      <c r="A349" s="169" t="s">
        <v>1034</v>
      </c>
      <c r="B349" s="169" t="s">
        <v>1033</v>
      </c>
      <c r="C349" s="955" t="s">
        <v>144</v>
      </c>
      <c r="D349" s="955" t="s">
        <v>146</v>
      </c>
      <c r="G349" s="946" t="s">
        <v>1230</v>
      </c>
      <c r="H349" s="946" t="s">
        <v>2751</v>
      </c>
    </row>
    <row r="350" spans="1:8" ht="15">
      <c r="A350" s="167" t="s">
        <v>509</v>
      </c>
      <c r="B350" s="166" t="s">
        <v>508</v>
      </c>
      <c r="C350" s="955" t="s">
        <v>144</v>
      </c>
      <c r="D350" s="955" t="s">
        <v>98</v>
      </c>
      <c r="G350" s="946" t="s">
        <v>2757</v>
      </c>
      <c r="H350" s="946" t="s">
        <v>2758</v>
      </c>
    </row>
    <row r="351" spans="1:8" ht="15">
      <c r="A351" s="169" t="s">
        <v>1036</v>
      </c>
      <c r="B351" s="169" t="s">
        <v>1035</v>
      </c>
      <c r="C351" s="955" t="s">
        <v>144</v>
      </c>
      <c r="D351" s="955" t="s">
        <v>98</v>
      </c>
      <c r="G351" s="946" t="s">
        <v>938</v>
      </c>
      <c r="H351" s="946" t="s">
        <v>2611</v>
      </c>
    </row>
    <row r="352" spans="1:8" ht="15">
      <c r="A352" s="167" t="s">
        <v>311</v>
      </c>
      <c r="B352" s="166" t="s">
        <v>310</v>
      </c>
      <c r="C352" s="955" t="s">
        <v>144</v>
      </c>
      <c r="D352" s="955" t="s">
        <v>150</v>
      </c>
      <c r="G352" s="946" t="s">
        <v>1407</v>
      </c>
      <c r="H352" s="946" t="s">
        <v>2695</v>
      </c>
    </row>
    <row r="353" spans="1:8" ht="15">
      <c r="A353" s="169" t="s">
        <v>1038</v>
      </c>
      <c r="B353" s="169" t="s">
        <v>1037</v>
      </c>
      <c r="C353" s="955" t="s">
        <v>144</v>
      </c>
      <c r="D353" s="955" t="s">
        <v>150</v>
      </c>
      <c r="G353" s="946" t="s">
        <v>2359</v>
      </c>
      <c r="H353" s="946" t="s">
        <v>2360</v>
      </c>
    </row>
    <row r="354" spans="1:8" ht="15">
      <c r="A354" s="167" t="s">
        <v>295</v>
      </c>
      <c r="B354" s="166" t="s">
        <v>294</v>
      </c>
      <c r="C354" s="955" t="s">
        <v>144</v>
      </c>
      <c r="D354" s="955" t="s">
        <v>150</v>
      </c>
      <c r="G354" s="946" t="s">
        <v>1374</v>
      </c>
      <c r="H354" s="946" t="s">
        <v>2774</v>
      </c>
    </row>
    <row r="355" spans="1:8" ht="15">
      <c r="A355" s="169" t="s">
        <v>1040</v>
      </c>
      <c r="B355" s="169" t="s">
        <v>1039</v>
      </c>
      <c r="C355" s="955" t="s">
        <v>144</v>
      </c>
      <c r="D355" s="955" t="s">
        <v>150</v>
      </c>
      <c r="G355" s="946" t="s">
        <v>2148</v>
      </c>
      <c r="H355" s="946" t="s">
        <v>2149</v>
      </c>
    </row>
    <row r="356" spans="1:8" ht="15">
      <c r="A356" s="167" t="s">
        <v>1825</v>
      </c>
      <c r="B356" s="166" t="s">
        <v>1826</v>
      </c>
      <c r="C356" s="955" t="s">
        <v>144</v>
      </c>
      <c r="D356" s="955" t="s">
        <v>146</v>
      </c>
      <c r="G356" s="946" t="s">
        <v>2361</v>
      </c>
      <c r="H356" s="946" t="s">
        <v>2362</v>
      </c>
    </row>
    <row r="357" spans="1:8" ht="15">
      <c r="A357" s="166" t="s">
        <v>1865</v>
      </c>
      <c r="B357" s="166" t="s">
        <v>1866</v>
      </c>
      <c r="C357" s="955" t="s">
        <v>144</v>
      </c>
      <c r="D357" s="955" t="s">
        <v>146</v>
      </c>
      <c r="G357" s="946" t="s">
        <v>1259</v>
      </c>
      <c r="H357" s="946" t="s">
        <v>2674</v>
      </c>
    </row>
    <row r="358" spans="1:8" ht="15">
      <c r="A358" s="167" t="s">
        <v>1843</v>
      </c>
      <c r="B358" s="166" t="s">
        <v>1844</v>
      </c>
      <c r="C358" s="955" t="s">
        <v>144</v>
      </c>
      <c r="D358" s="955" t="s">
        <v>146</v>
      </c>
      <c r="G358" s="946" t="s">
        <v>2624</v>
      </c>
      <c r="H358" s="946" t="s">
        <v>2748</v>
      </c>
    </row>
    <row r="359" spans="1:8" ht="15">
      <c r="A359" s="167" t="s">
        <v>1855</v>
      </c>
      <c r="B359" s="166" t="s">
        <v>1856</v>
      </c>
      <c r="C359" s="955" t="s">
        <v>144</v>
      </c>
      <c r="D359" s="955" t="s">
        <v>146</v>
      </c>
      <c r="G359" s="946" t="s">
        <v>1342</v>
      </c>
      <c r="H359" s="946" t="s">
        <v>2707</v>
      </c>
    </row>
    <row r="360" spans="1:8" ht="15">
      <c r="A360" s="167" t="s">
        <v>1739</v>
      </c>
      <c r="B360" s="166" t="s">
        <v>1740</v>
      </c>
      <c r="C360" s="955" t="s">
        <v>144</v>
      </c>
      <c r="D360" s="955" t="s">
        <v>146</v>
      </c>
      <c r="G360" s="946" t="s">
        <v>1412</v>
      </c>
      <c r="H360" s="946" t="s">
        <v>2776</v>
      </c>
    </row>
    <row r="361" spans="1:8" ht="15">
      <c r="A361" s="167" t="s">
        <v>1739</v>
      </c>
      <c r="B361" s="166" t="s">
        <v>1740</v>
      </c>
      <c r="C361" s="955" t="s">
        <v>144</v>
      </c>
      <c r="D361" s="955" t="s">
        <v>146</v>
      </c>
      <c r="G361" s="946" t="s">
        <v>1211</v>
      </c>
      <c r="H361" s="946" t="s">
        <v>2712</v>
      </c>
    </row>
    <row r="362" spans="1:8" ht="15">
      <c r="A362" s="167" t="s">
        <v>1831</v>
      </c>
      <c r="B362" s="166" t="s">
        <v>1832</v>
      </c>
      <c r="C362" s="955" t="s">
        <v>144</v>
      </c>
      <c r="D362" s="955" t="s">
        <v>181</v>
      </c>
      <c r="G362" s="946" t="s">
        <v>1252</v>
      </c>
      <c r="H362" s="946" t="s">
        <v>2697</v>
      </c>
    </row>
    <row r="363" spans="1:8" ht="15">
      <c r="A363" s="167" t="s">
        <v>1837</v>
      </c>
      <c r="B363" s="166" t="s">
        <v>1838</v>
      </c>
      <c r="C363" s="955" t="s">
        <v>144</v>
      </c>
      <c r="D363" s="955" t="s">
        <v>181</v>
      </c>
      <c r="G363" s="946" t="s">
        <v>1283</v>
      </c>
      <c r="H363" s="946" t="s">
        <v>2717</v>
      </c>
    </row>
    <row r="364" spans="1:8" ht="15">
      <c r="A364" s="167" t="s">
        <v>1849</v>
      </c>
      <c r="B364" s="166" t="s">
        <v>1850</v>
      </c>
      <c r="C364" s="955" t="s">
        <v>144</v>
      </c>
      <c r="D364" s="955" t="s">
        <v>181</v>
      </c>
      <c r="G364" s="946" t="s">
        <v>1305</v>
      </c>
      <c r="H364" s="946" t="s">
        <v>2719</v>
      </c>
    </row>
    <row r="365" spans="1:8" ht="15">
      <c r="A365" s="167" t="s">
        <v>1819</v>
      </c>
      <c r="B365" s="166" t="s">
        <v>1820</v>
      </c>
      <c r="C365" s="955" t="s">
        <v>144</v>
      </c>
      <c r="D365" s="955" t="s">
        <v>146</v>
      </c>
      <c r="G365" s="946" t="s">
        <v>2363</v>
      </c>
      <c r="H365" s="946" t="s">
        <v>2364</v>
      </c>
    </row>
    <row r="366" spans="1:8" ht="15">
      <c r="A366" s="167" t="s">
        <v>1861</v>
      </c>
      <c r="B366" s="166" t="s">
        <v>1862</v>
      </c>
      <c r="C366" s="955" t="s">
        <v>144</v>
      </c>
      <c r="D366" s="955" t="s">
        <v>181</v>
      </c>
      <c r="G366" s="946" t="s">
        <v>1157</v>
      </c>
      <c r="H366" s="946" t="s">
        <v>2565</v>
      </c>
    </row>
    <row r="367" spans="1:8" ht="15">
      <c r="A367" s="167" t="s">
        <v>331</v>
      </c>
      <c r="B367" s="166" t="s">
        <v>330</v>
      </c>
      <c r="C367" s="955" t="s">
        <v>155</v>
      </c>
      <c r="D367" s="955" t="s">
        <v>159</v>
      </c>
      <c r="G367" s="946" t="s">
        <v>932</v>
      </c>
      <c r="H367" s="946" t="s">
        <v>2464</v>
      </c>
    </row>
    <row r="368" spans="1:8" ht="15">
      <c r="A368" s="169" t="s">
        <v>1042</v>
      </c>
      <c r="B368" s="169" t="s">
        <v>1041</v>
      </c>
      <c r="C368" s="955" t="s">
        <v>155</v>
      </c>
      <c r="D368" s="955" t="s">
        <v>159</v>
      </c>
      <c r="G368" s="946" t="s">
        <v>934</v>
      </c>
      <c r="H368" s="946" t="s">
        <v>2564</v>
      </c>
    </row>
    <row r="369" spans="1:8" ht="15">
      <c r="A369" s="167" t="s">
        <v>501</v>
      </c>
      <c r="B369" s="166" t="s">
        <v>500</v>
      </c>
      <c r="C369" s="955" t="s">
        <v>155</v>
      </c>
      <c r="D369" s="955" t="s">
        <v>163</v>
      </c>
      <c r="G369" s="946" t="s">
        <v>1186</v>
      </c>
      <c r="H369" s="946" t="s">
        <v>2649</v>
      </c>
    </row>
    <row r="370" spans="1:8" ht="15">
      <c r="A370" s="169" t="s">
        <v>1044</v>
      </c>
      <c r="B370" s="169" t="s">
        <v>1043</v>
      </c>
      <c r="C370" s="955" t="s">
        <v>155</v>
      </c>
      <c r="D370" s="955" t="s">
        <v>163</v>
      </c>
      <c r="G370" s="946" t="s">
        <v>1180</v>
      </c>
      <c r="H370" s="946" t="s">
        <v>2584</v>
      </c>
    </row>
    <row r="371" spans="1:8" ht="15">
      <c r="A371" s="167" t="s">
        <v>353</v>
      </c>
      <c r="B371" s="166" t="s">
        <v>352</v>
      </c>
      <c r="C371" s="955" t="s">
        <v>155</v>
      </c>
      <c r="D371" s="955" t="s">
        <v>161</v>
      </c>
      <c r="G371" s="946" t="s">
        <v>1286</v>
      </c>
      <c r="H371" s="946" t="s">
        <v>2723</v>
      </c>
    </row>
    <row r="372" spans="1:8" ht="15">
      <c r="A372" s="169" t="s">
        <v>1046</v>
      </c>
      <c r="B372" s="169" t="s">
        <v>1045</v>
      </c>
      <c r="C372" s="955" t="s">
        <v>155</v>
      </c>
      <c r="D372" s="955" t="s">
        <v>161</v>
      </c>
      <c r="G372" s="946" t="s">
        <v>1206</v>
      </c>
      <c r="H372" s="946" t="s">
        <v>2602</v>
      </c>
    </row>
    <row r="373" spans="1:8" ht="15">
      <c r="A373" s="167" t="s">
        <v>337</v>
      </c>
      <c r="B373" s="166" t="s">
        <v>336</v>
      </c>
      <c r="C373" s="955" t="s">
        <v>155</v>
      </c>
      <c r="D373" s="955" t="s">
        <v>162</v>
      </c>
      <c r="G373" s="946" t="s">
        <v>1154</v>
      </c>
      <c r="H373" s="946" t="s">
        <v>2595</v>
      </c>
    </row>
    <row r="374" spans="1:8" ht="15">
      <c r="A374" s="168" t="s">
        <v>1048</v>
      </c>
      <c r="B374" s="169" t="s">
        <v>1047</v>
      </c>
      <c r="C374" s="955" t="s">
        <v>155</v>
      </c>
      <c r="D374" s="955" t="s">
        <v>162</v>
      </c>
      <c r="G374" s="946" t="s">
        <v>1237</v>
      </c>
      <c r="H374" s="946" t="s">
        <v>2666</v>
      </c>
    </row>
    <row r="375" spans="1:8" ht="15">
      <c r="A375" s="167" t="s">
        <v>531</v>
      </c>
      <c r="B375" s="166" t="s">
        <v>530</v>
      </c>
      <c r="C375" s="955" t="s">
        <v>155</v>
      </c>
      <c r="D375" s="955" t="s">
        <v>161</v>
      </c>
      <c r="G375" s="946" t="s">
        <v>1247</v>
      </c>
      <c r="H375" s="946" t="s">
        <v>2676</v>
      </c>
    </row>
    <row r="376" spans="1:8" ht="15">
      <c r="A376" s="168" t="s">
        <v>1050</v>
      </c>
      <c r="B376" s="169" t="s">
        <v>1049</v>
      </c>
      <c r="C376" s="955" t="s">
        <v>155</v>
      </c>
      <c r="D376" s="955" t="s">
        <v>161</v>
      </c>
      <c r="G376" s="946" t="s">
        <v>1308</v>
      </c>
      <c r="H376" s="946" t="s">
        <v>2698</v>
      </c>
    </row>
    <row r="377" spans="1:8" ht="15">
      <c r="A377" s="167" t="s">
        <v>1873</v>
      </c>
      <c r="B377" s="166" t="s">
        <v>1874</v>
      </c>
      <c r="C377" s="955" t="s">
        <v>1646</v>
      </c>
      <c r="D377" s="955" t="s">
        <v>167</v>
      </c>
      <c r="G377" s="946" t="s">
        <v>1333</v>
      </c>
      <c r="H377" s="946" t="s">
        <v>2680</v>
      </c>
    </row>
    <row r="378" spans="1:8" ht="15">
      <c r="A378" s="167" t="s">
        <v>415</v>
      </c>
      <c r="B378" s="166" t="s">
        <v>414</v>
      </c>
      <c r="C378" s="955" t="s">
        <v>175</v>
      </c>
      <c r="D378" s="955" t="s">
        <v>187</v>
      </c>
      <c r="G378" s="946" t="s">
        <v>936</v>
      </c>
      <c r="H378" s="946" t="s">
        <v>2465</v>
      </c>
    </row>
    <row r="379" spans="1:8" ht="15">
      <c r="A379" s="168" t="s">
        <v>1052</v>
      </c>
      <c r="B379" s="169" t="s">
        <v>1051</v>
      </c>
      <c r="C379" s="955" t="s">
        <v>155</v>
      </c>
      <c r="D379" s="955" t="s">
        <v>89</v>
      </c>
      <c r="G379" s="946" t="s">
        <v>1380</v>
      </c>
      <c r="H379" s="946" t="s">
        <v>2633</v>
      </c>
    </row>
    <row r="380" spans="1:8" ht="15">
      <c r="A380" s="167" t="s">
        <v>1879</v>
      </c>
      <c r="B380" s="166" t="s">
        <v>1880</v>
      </c>
      <c r="C380" s="955" t="s">
        <v>155</v>
      </c>
      <c r="D380" s="955" t="s">
        <v>1700</v>
      </c>
      <c r="G380" s="946" t="s">
        <v>1462</v>
      </c>
      <c r="H380" s="946" t="s">
        <v>2724</v>
      </c>
    </row>
    <row r="381" spans="1:8" ht="15">
      <c r="A381" s="167" t="s">
        <v>473</v>
      </c>
      <c r="B381" s="166" t="s">
        <v>472</v>
      </c>
      <c r="C381" s="955" t="s">
        <v>155</v>
      </c>
      <c r="D381" s="955" t="s">
        <v>167</v>
      </c>
      <c r="G381" s="946" t="s">
        <v>1290</v>
      </c>
      <c r="H381" s="946" t="s">
        <v>2615</v>
      </c>
    </row>
    <row r="382" spans="1:8" ht="15">
      <c r="A382" s="168" t="s">
        <v>1054</v>
      </c>
      <c r="B382" s="169" t="s">
        <v>1053</v>
      </c>
      <c r="C382" s="955" t="s">
        <v>155</v>
      </c>
      <c r="D382" s="955" t="s">
        <v>167</v>
      </c>
      <c r="G382" s="946" t="s">
        <v>1203</v>
      </c>
      <c r="H382" s="946" t="s">
        <v>2651</v>
      </c>
    </row>
    <row r="383" spans="1:8" ht="15">
      <c r="A383" s="167" t="s">
        <v>547</v>
      </c>
      <c r="B383" s="166" t="s">
        <v>546</v>
      </c>
      <c r="C383" s="955" t="s">
        <v>155</v>
      </c>
      <c r="D383" s="955" t="s">
        <v>167</v>
      </c>
      <c r="G383" s="946" t="s">
        <v>1393</v>
      </c>
      <c r="H383" s="946" t="s">
        <v>2620</v>
      </c>
    </row>
    <row r="384" spans="1:8" ht="15">
      <c r="A384" s="168" t="s">
        <v>1056</v>
      </c>
      <c r="B384" s="169" t="s">
        <v>1055</v>
      </c>
      <c r="C384" s="955" t="s">
        <v>155</v>
      </c>
      <c r="D384" s="955" t="s">
        <v>167</v>
      </c>
      <c r="G384" s="946" t="s">
        <v>1318</v>
      </c>
      <c r="H384" s="946" t="s">
        <v>2664</v>
      </c>
    </row>
    <row r="385" spans="1:8" ht="15">
      <c r="A385" s="167" t="s">
        <v>413</v>
      </c>
      <c r="B385" s="166" t="s">
        <v>412</v>
      </c>
      <c r="C385" s="955" t="s">
        <v>155</v>
      </c>
      <c r="D385" s="955" t="s">
        <v>167</v>
      </c>
      <c r="G385" s="946" t="s">
        <v>1403</v>
      </c>
      <c r="H385" s="946" t="s">
        <v>2743</v>
      </c>
    </row>
    <row r="386" spans="1:8" ht="15">
      <c r="A386" s="169" t="s">
        <v>1058</v>
      </c>
      <c r="B386" s="169" t="s">
        <v>1057</v>
      </c>
      <c r="C386" s="955" t="s">
        <v>155</v>
      </c>
      <c r="D386" s="955" t="s">
        <v>167</v>
      </c>
      <c r="G386" s="946" t="s">
        <v>1450</v>
      </c>
      <c r="H386" s="946" t="s">
        <v>2677</v>
      </c>
    </row>
    <row r="387" spans="1:8" ht="15">
      <c r="A387" s="167" t="s">
        <v>453</v>
      </c>
      <c r="B387" s="166" t="s">
        <v>452</v>
      </c>
      <c r="C387" s="955" t="s">
        <v>171</v>
      </c>
      <c r="D387" s="955" t="s">
        <v>172</v>
      </c>
      <c r="G387" s="946" t="s">
        <v>1374</v>
      </c>
      <c r="H387" s="946" t="s">
        <v>2714</v>
      </c>
    </row>
    <row r="388" spans="1:8" ht="15">
      <c r="A388" s="169" t="s">
        <v>1060</v>
      </c>
      <c r="B388" s="169" t="s">
        <v>1059</v>
      </c>
      <c r="C388" s="955" t="s">
        <v>171</v>
      </c>
      <c r="D388" s="955" t="s">
        <v>172</v>
      </c>
      <c r="G388" s="946" t="s">
        <v>1259</v>
      </c>
      <c r="H388" s="946" t="s">
        <v>2711</v>
      </c>
    </row>
    <row r="389" spans="1:8" ht="15">
      <c r="A389" s="167" t="s">
        <v>859</v>
      </c>
      <c r="B389" s="166" t="s">
        <v>858</v>
      </c>
      <c r="C389" s="955" t="s">
        <v>171</v>
      </c>
      <c r="D389" s="955" t="s">
        <v>172</v>
      </c>
      <c r="G389" s="946" t="s">
        <v>2624</v>
      </c>
      <c r="H389" s="946" t="s">
        <v>2771</v>
      </c>
    </row>
    <row r="390" spans="1:8" ht="15">
      <c r="A390" s="169" t="s">
        <v>1062</v>
      </c>
      <c r="B390" s="169" t="s">
        <v>1061</v>
      </c>
      <c r="C390" s="955" t="s">
        <v>171</v>
      </c>
      <c r="D390" s="955" t="s">
        <v>172</v>
      </c>
      <c r="G390" s="946" t="s">
        <v>1266</v>
      </c>
      <c r="H390" s="946" t="s">
        <v>2766</v>
      </c>
    </row>
    <row r="391" spans="1:8" ht="15">
      <c r="A391" s="167" t="s">
        <v>513</v>
      </c>
      <c r="B391" s="166" t="s">
        <v>512</v>
      </c>
      <c r="C391" s="955" t="s">
        <v>171</v>
      </c>
      <c r="D391" s="955" t="s">
        <v>172</v>
      </c>
      <c r="G391" s="946" t="s">
        <v>1249</v>
      </c>
      <c r="H391" s="946" t="s">
        <v>2805</v>
      </c>
    </row>
    <row r="392" spans="1:8" ht="15">
      <c r="A392" s="169" t="s">
        <v>1064</v>
      </c>
      <c r="B392" s="169" t="s">
        <v>1063</v>
      </c>
      <c r="C392" s="955" t="s">
        <v>171</v>
      </c>
      <c r="D392" s="955" t="s">
        <v>172</v>
      </c>
      <c r="G392" s="946" t="s">
        <v>1330</v>
      </c>
      <c r="H392" s="946" t="s">
        <v>2810</v>
      </c>
    </row>
    <row r="393" spans="1:8" ht="15">
      <c r="A393" s="167" t="s">
        <v>327</v>
      </c>
      <c r="B393" s="166" t="s">
        <v>326</v>
      </c>
      <c r="C393" s="955" t="s">
        <v>144</v>
      </c>
      <c r="D393" s="955" t="s">
        <v>146</v>
      </c>
      <c r="G393" s="946" t="s">
        <v>1448</v>
      </c>
      <c r="H393" s="946" t="s">
        <v>2793</v>
      </c>
    </row>
    <row r="394" spans="1:8" ht="15">
      <c r="A394" s="169" t="s">
        <v>1066</v>
      </c>
      <c r="B394" s="169" t="s">
        <v>1065</v>
      </c>
      <c r="C394" s="955" t="s">
        <v>144</v>
      </c>
      <c r="D394" s="955" t="s">
        <v>146</v>
      </c>
      <c r="G394" s="946" t="s">
        <v>1252</v>
      </c>
      <c r="H394" s="946" t="s">
        <v>2732</v>
      </c>
    </row>
    <row r="395" spans="1:8" ht="15">
      <c r="A395" s="167" t="s">
        <v>1789</v>
      </c>
      <c r="B395" s="166" t="s">
        <v>1790</v>
      </c>
      <c r="C395" s="955" t="s">
        <v>144</v>
      </c>
      <c r="D395" s="955" t="s">
        <v>146</v>
      </c>
      <c r="G395" s="946" t="s">
        <v>1283</v>
      </c>
      <c r="H395" s="946" t="s">
        <v>2779</v>
      </c>
    </row>
    <row r="396" spans="1:8" ht="15">
      <c r="A396" s="169" t="s">
        <v>1068</v>
      </c>
      <c r="B396" s="169" t="s">
        <v>1067</v>
      </c>
      <c r="C396" s="955" t="s">
        <v>144</v>
      </c>
      <c r="D396" s="955" t="s">
        <v>146</v>
      </c>
      <c r="G396" s="946" t="s">
        <v>1220</v>
      </c>
      <c r="H396" s="946" t="s">
        <v>2608</v>
      </c>
    </row>
    <row r="397" spans="1:8" ht="15">
      <c r="A397" s="167" t="s">
        <v>321</v>
      </c>
      <c r="B397" s="166" t="s">
        <v>320</v>
      </c>
      <c r="C397" s="955" t="s">
        <v>144</v>
      </c>
      <c r="D397" s="955" t="s">
        <v>146</v>
      </c>
      <c r="G397" s="946" t="s">
        <v>1305</v>
      </c>
      <c r="H397" s="946" t="s">
        <v>2742</v>
      </c>
    </row>
    <row r="398" spans="1:8" ht="15">
      <c r="A398" s="169" t="s">
        <v>1070</v>
      </c>
      <c r="B398" s="169" t="s">
        <v>1069</v>
      </c>
      <c r="C398" s="955" t="s">
        <v>144</v>
      </c>
      <c r="D398" s="955" t="s">
        <v>146</v>
      </c>
      <c r="G398" s="946" t="s">
        <v>2365</v>
      </c>
      <c r="H398" s="946" t="s">
        <v>2366</v>
      </c>
    </row>
    <row r="399" spans="1:8" ht="15">
      <c r="A399" s="167" t="s">
        <v>1792</v>
      </c>
      <c r="B399" s="166" t="s">
        <v>1793</v>
      </c>
      <c r="C399" s="955" t="s">
        <v>144</v>
      </c>
      <c r="D399" s="955" t="s">
        <v>146</v>
      </c>
      <c r="G399" s="946" t="s">
        <v>1178</v>
      </c>
      <c r="H399" s="946" t="s">
        <v>2466</v>
      </c>
    </row>
    <row r="400" spans="1:8" ht="15">
      <c r="A400" s="167" t="s">
        <v>861</v>
      </c>
      <c r="B400" s="166" t="s">
        <v>860</v>
      </c>
      <c r="C400" s="955" t="s">
        <v>144</v>
      </c>
      <c r="D400" s="955" t="s">
        <v>146</v>
      </c>
      <c r="G400" s="946" t="s">
        <v>1157</v>
      </c>
      <c r="H400" s="946" t="s">
        <v>2655</v>
      </c>
    </row>
    <row r="401" spans="1:8" ht="15">
      <c r="A401" s="169" t="s">
        <v>1072</v>
      </c>
      <c r="B401" s="169" t="s">
        <v>1071</v>
      </c>
      <c r="C401" s="955" t="s">
        <v>144</v>
      </c>
      <c r="D401" s="955" t="s">
        <v>146</v>
      </c>
      <c r="G401" s="946" t="s">
        <v>932</v>
      </c>
      <c r="H401" s="946" t="s">
        <v>2158</v>
      </c>
    </row>
    <row r="402" spans="1:8" ht="15">
      <c r="A402" s="167" t="s">
        <v>357</v>
      </c>
      <c r="B402" s="166" t="s">
        <v>356</v>
      </c>
      <c r="C402" s="955" t="s">
        <v>144</v>
      </c>
      <c r="D402" s="955" t="s">
        <v>146</v>
      </c>
      <c r="G402" s="946" t="s">
        <v>934</v>
      </c>
      <c r="H402" s="946" t="s">
        <v>2572</v>
      </c>
    </row>
    <row r="403" spans="1:8" ht="15">
      <c r="A403" s="169" t="s">
        <v>1074</v>
      </c>
      <c r="B403" s="169" t="s">
        <v>1073</v>
      </c>
      <c r="C403" s="955" t="s">
        <v>144</v>
      </c>
      <c r="D403" s="955" t="s">
        <v>146</v>
      </c>
      <c r="G403" s="946" t="s">
        <v>1527</v>
      </c>
      <c r="H403" s="946" t="s">
        <v>2801</v>
      </c>
    </row>
    <row r="404" spans="1:8" ht="15">
      <c r="A404" s="167" t="s">
        <v>329</v>
      </c>
      <c r="B404" s="166" t="s">
        <v>328</v>
      </c>
      <c r="C404" s="955" t="s">
        <v>144</v>
      </c>
      <c r="D404" s="955" t="s">
        <v>146</v>
      </c>
      <c r="G404" s="946" t="s">
        <v>1180</v>
      </c>
      <c r="H404" s="946" t="s">
        <v>2609</v>
      </c>
    </row>
    <row r="405" spans="1:8" ht="15">
      <c r="A405" s="169" t="s">
        <v>1076</v>
      </c>
      <c r="B405" s="169" t="s">
        <v>1075</v>
      </c>
      <c r="C405" s="955" t="s">
        <v>144</v>
      </c>
      <c r="D405" s="955" t="s">
        <v>146</v>
      </c>
      <c r="G405" s="946" t="s">
        <v>1286</v>
      </c>
      <c r="H405" s="946" t="s">
        <v>2745</v>
      </c>
    </row>
    <row r="406" spans="1:8" ht="15">
      <c r="A406" s="167" t="s">
        <v>299</v>
      </c>
      <c r="B406" s="166" t="s">
        <v>298</v>
      </c>
      <c r="C406" s="955" t="s">
        <v>144</v>
      </c>
      <c r="D406" s="955" t="s">
        <v>146</v>
      </c>
      <c r="G406" s="946" t="s">
        <v>1206</v>
      </c>
      <c r="H406" s="946" t="s">
        <v>2644</v>
      </c>
    </row>
    <row r="407" spans="1:8" ht="15">
      <c r="A407" s="169" t="s">
        <v>1078</v>
      </c>
      <c r="B407" s="169" t="s">
        <v>1077</v>
      </c>
      <c r="C407" s="955" t="s">
        <v>144</v>
      </c>
      <c r="D407" s="955" t="s">
        <v>146</v>
      </c>
      <c r="G407" s="946" t="s">
        <v>1154</v>
      </c>
      <c r="H407" s="946" t="s">
        <v>2645</v>
      </c>
    </row>
    <row r="408" spans="1:8" ht="15">
      <c r="A408" s="167" t="s">
        <v>1797</v>
      </c>
      <c r="B408" s="166" t="s">
        <v>1798</v>
      </c>
      <c r="C408" s="955" t="s">
        <v>144</v>
      </c>
      <c r="D408" s="955" t="s">
        <v>146</v>
      </c>
      <c r="G408" s="946" t="s">
        <v>1237</v>
      </c>
      <c r="H408" s="946" t="s">
        <v>2700</v>
      </c>
    </row>
    <row r="409" spans="1:8" ht="15">
      <c r="A409" s="167" t="s">
        <v>403</v>
      </c>
      <c r="B409" s="166" t="s">
        <v>402</v>
      </c>
      <c r="C409" s="955" t="s">
        <v>144</v>
      </c>
      <c r="D409" s="955" t="s">
        <v>146</v>
      </c>
      <c r="G409" s="946" t="s">
        <v>1292</v>
      </c>
      <c r="H409" s="946" t="s">
        <v>2656</v>
      </c>
    </row>
    <row r="410" spans="1:8" ht="15">
      <c r="A410" s="169" t="s">
        <v>1080</v>
      </c>
      <c r="B410" s="169" t="s">
        <v>1079</v>
      </c>
      <c r="C410" s="955" t="s">
        <v>144</v>
      </c>
      <c r="D410" s="955" t="s">
        <v>146</v>
      </c>
      <c r="G410" s="946" t="s">
        <v>1308</v>
      </c>
      <c r="H410" s="946" t="s">
        <v>2736</v>
      </c>
    </row>
    <row r="411" spans="1:8" ht="15">
      <c r="A411" s="167" t="s">
        <v>863</v>
      </c>
      <c r="B411" s="166" t="s">
        <v>862</v>
      </c>
      <c r="C411" s="955" t="s">
        <v>144</v>
      </c>
      <c r="D411" s="955" t="s">
        <v>146</v>
      </c>
      <c r="G411" s="946" t="s">
        <v>1333</v>
      </c>
      <c r="H411" s="946" t="s">
        <v>2716</v>
      </c>
    </row>
    <row r="412" spans="1:8" ht="15">
      <c r="A412" s="169" t="s">
        <v>1082</v>
      </c>
      <c r="B412" s="169" t="s">
        <v>1081</v>
      </c>
      <c r="C412" s="955" t="s">
        <v>144</v>
      </c>
      <c r="D412" s="955" t="s">
        <v>146</v>
      </c>
      <c r="G412" s="946" t="s">
        <v>936</v>
      </c>
      <c r="H412" s="946" t="s">
        <v>2607</v>
      </c>
    </row>
    <row r="413" spans="1:8" ht="15">
      <c r="A413" s="167" t="s">
        <v>1802</v>
      </c>
      <c r="B413" s="166" t="s">
        <v>1803</v>
      </c>
      <c r="C413" s="955" t="s">
        <v>144</v>
      </c>
      <c r="D413" s="955" t="s">
        <v>146</v>
      </c>
      <c r="G413" s="946" t="s">
        <v>1168</v>
      </c>
      <c r="H413" s="946" t="s">
        <v>2638</v>
      </c>
    </row>
    <row r="414" spans="1:8" ht="15">
      <c r="A414" s="167" t="s">
        <v>1807</v>
      </c>
      <c r="B414" s="166" t="s">
        <v>1808</v>
      </c>
      <c r="C414" s="955" t="s">
        <v>144</v>
      </c>
      <c r="D414" s="955" t="s">
        <v>146</v>
      </c>
      <c r="G414" s="946" t="s">
        <v>1311</v>
      </c>
      <c r="H414" s="946" t="s">
        <v>2670</v>
      </c>
    </row>
    <row r="415" spans="1:8" ht="15">
      <c r="A415" s="167" t="s">
        <v>865</v>
      </c>
      <c r="B415" s="166" t="s">
        <v>864</v>
      </c>
      <c r="C415" s="955" t="s">
        <v>144</v>
      </c>
      <c r="D415" s="955" t="s">
        <v>146</v>
      </c>
      <c r="G415" s="946" t="s">
        <v>1452</v>
      </c>
      <c r="H415" s="946" t="s">
        <v>2756</v>
      </c>
    </row>
    <row r="416" spans="1:8" ht="15">
      <c r="A416" s="169" t="s">
        <v>1084</v>
      </c>
      <c r="B416" s="169" t="s">
        <v>1083</v>
      </c>
      <c r="C416" s="955" t="s">
        <v>144</v>
      </c>
      <c r="D416" s="955" t="s">
        <v>146</v>
      </c>
      <c r="G416" s="946" t="s">
        <v>1347</v>
      </c>
      <c r="H416" s="946" t="s">
        <v>2657</v>
      </c>
    </row>
    <row r="417" spans="1:8" ht="15">
      <c r="A417" s="167" t="s">
        <v>1812</v>
      </c>
      <c r="B417" s="166" t="s">
        <v>1813</v>
      </c>
      <c r="C417" s="955" t="s">
        <v>144</v>
      </c>
      <c r="D417" s="955" t="s">
        <v>146</v>
      </c>
      <c r="G417" s="946" t="s">
        <v>1340</v>
      </c>
      <c r="H417" s="946" t="s">
        <v>2681</v>
      </c>
    </row>
    <row r="418" spans="1:8" ht="15">
      <c r="A418" s="167" t="s">
        <v>1210</v>
      </c>
      <c r="B418" s="166" t="s">
        <v>1209</v>
      </c>
      <c r="C418" s="955" t="s">
        <v>144</v>
      </c>
      <c r="D418" s="955" t="s">
        <v>146</v>
      </c>
      <c r="G418" s="946" t="s">
        <v>1274</v>
      </c>
      <c r="H418" s="946" t="s">
        <v>2663</v>
      </c>
    </row>
    <row r="419" spans="1:8" ht="15">
      <c r="A419" s="167" t="s">
        <v>867</v>
      </c>
      <c r="B419" s="166" t="s">
        <v>866</v>
      </c>
      <c r="C419" s="955" t="s">
        <v>144</v>
      </c>
      <c r="D419" s="955" t="s">
        <v>147</v>
      </c>
      <c r="G419" s="946" t="s">
        <v>1367</v>
      </c>
      <c r="H419" s="946" t="s">
        <v>2699</v>
      </c>
    </row>
    <row r="420" spans="1:8" ht="15">
      <c r="A420" s="169" t="s">
        <v>1086</v>
      </c>
      <c r="B420" s="169" t="s">
        <v>1085</v>
      </c>
      <c r="C420" s="955" t="s">
        <v>144</v>
      </c>
      <c r="D420" s="955" t="s">
        <v>147</v>
      </c>
      <c r="G420" s="946" t="s">
        <v>399</v>
      </c>
      <c r="H420" s="946" t="s">
        <v>2627</v>
      </c>
    </row>
    <row r="421" spans="1:8" ht="15">
      <c r="A421" s="167" t="s">
        <v>1747</v>
      </c>
      <c r="B421" s="166" t="s">
        <v>1748</v>
      </c>
      <c r="C421" s="955" t="s">
        <v>144</v>
      </c>
      <c r="D421" s="955" t="s">
        <v>147</v>
      </c>
      <c r="G421" s="946" t="s">
        <v>2368</v>
      </c>
      <c r="H421" s="946" t="s">
        <v>2369</v>
      </c>
    </row>
    <row r="422" spans="1:8" ht="15">
      <c r="A422" s="167" t="s">
        <v>869</v>
      </c>
      <c r="B422" s="166" t="s">
        <v>868</v>
      </c>
      <c r="C422" s="955" t="s">
        <v>144</v>
      </c>
      <c r="D422" s="955" t="s">
        <v>147</v>
      </c>
      <c r="G422" s="946" t="s">
        <v>1374</v>
      </c>
      <c r="H422" s="946" t="s">
        <v>2559</v>
      </c>
    </row>
    <row r="423" spans="1:8" ht="15">
      <c r="A423" s="168" t="s">
        <v>1088</v>
      </c>
      <c r="B423" s="169" t="s">
        <v>1087</v>
      </c>
      <c r="C423" s="955" t="s">
        <v>144</v>
      </c>
      <c r="D423" s="955" t="s">
        <v>147</v>
      </c>
      <c r="G423" s="946" t="s">
        <v>2370</v>
      </c>
      <c r="H423" s="946" t="s">
        <v>2371</v>
      </c>
    </row>
    <row r="424" spans="1:8" ht="15">
      <c r="A424" s="167" t="s">
        <v>1751</v>
      </c>
      <c r="B424" s="166" t="s">
        <v>1752</v>
      </c>
      <c r="C424" s="955" t="s">
        <v>144</v>
      </c>
      <c r="D424" s="955" t="s">
        <v>147</v>
      </c>
      <c r="G424" s="946" t="s">
        <v>1259</v>
      </c>
      <c r="H424" s="946" t="s">
        <v>2647</v>
      </c>
    </row>
    <row r="425" spans="1:8" ht="15">
      <c r="A425" s="167" t="s">
        <v>1755</v>
      </c>
      <c r="B425" s="166" t="s">
        <v>1756</v>
      </c>
      <c r="C425" s="955" t="s">
        <v>144</v>
      </c>
      <c r="D425" s="955" t="s">
        <v>147</v>
      </c>
      <c r="G425" s="946" t="s">
        <v>2624</v>
      </c>
      <c r="H425" s="946" t="s">
        <v>2625</v>
      </c>
    </row>
    <row r="426" spans="1:8" ht="15">
      <c r="A426" s="167" t="s">
        <v>1759</v>
      </c>
      <c r="B426" s="166" t="s">
        <v>1760</v>
      </c>
      <c r="C426" s="955" t="s">
        <v>144</v>
      </c>
      <c r="D426" s="955" t="s">
        <v>147</v>
      </c>
      <c r="G426" s="946" t="s">
        <v>1266</v>
      </c>
      <c r="H426" s="946" t="s">
        <v>2678</v>
      </c>
    </row>
    <row r="427" spans="1:8" ht="15">
      <c r="A427" s="167" t="s">
        <v>1763</v>
      </c>
      <c r="B427" s="166" t="s">
        <v>1764</v>
      </c>
      <c r="C427" s="955" t="s">
        <v>144</v>
      </c>
      <c r="D427" s="955" t="s">
        <v>147</v>
      </c>
      <c r="G427" s="946" t="s">
        <v>1249</v>
      </c>
      <c r="H427" s="946" t="s">
        <v>2734</v>
      </c>
    </row>
    <row r="428" spans="1:8" ht="15">
      <c r="A428" s="167" t="s">
        <v>426</v>
      </c>
      <c r="B428" s="166" t="s">
        <v>425</v>
      </c>
      <c r="C428" s="955" t="s">
        <v>144</v>
      </c>
      <c r="D428" s="955" t="s">
        <v>147</v>
      </c>
      <c r="G428" s="946" t="s">
        <v>1330</v>
      </c>
      <c r="H428" s="946" t="s">
        <v>2720</v>
      </c>
    </row>
    <row r="429" spans="1:8" ht="15">
      <c r="A429" s="168" t="s">
        <v>1090</v>
      </c>
      <c r="B429" s="169" t="s">
        <v>1089</v>
      </c>
      <c r="C429" s="955" t="s">
        <v>144</v>
      </c>
      <c r="D429" s="955" t="s">
        <v>147</v>
      </c>
      <c r="G429" s="946" t="s">
        <v>1211</v>
      </c>
      <c r="H429" s="946" t="s">
        <v>2640</v>
      </c>
    </row>
    <row r="430" spans="1:8" ht="15">
      <c r="A430" s="167" t="s">
        <v>1767</v>
      </c>
      <c r="B430" s="166" t="s">
        <v>1768</v>
      </c>
      <c r="C430" s="955" t="s">
        <v>144</v>
      </c>
      <c r="D430" s="955" t="s">
        <v>147</v>
      </c>
      <c r="G430" s="946" t="s">
        <v>1252</v>
      </c>
      <c r="H430" s="946" t="s">
        <v>2585</v>
      </c>
    </row>
    <row r="431" spans="1:8" ht="15">
      <c r="A431" s="167" t="s">
        <v>1771</v>
      </c>
      <c r="B431" s="166" t="s">
        <v>1772</v>
      </c>
      <c r="C431" s="955" t="s">
        <v>144</v>
      </c>
      <c r="D431" s="955" t="s">
        <v>147</v>
      </c>
      <c r="G431" s="946" t="s">
        <v>1283</v>
      </c>
      <c r="H431" s="946" t="s">
        <v>2684</v>
      </c>
    </row>
    <row r="432" spans="1:8" ht="15">
      <c r="A432" s="167" t="s">
        <v>1775</v>
      </c>
      <c r="B432" s="166" t="s">
        <v>1776</v>
      </c>
      <c r="C432" s="955" t="s">
        <v>144</v>
      </c>
      <c r="D432" s="955" t="s">
        <v>147</v>
      </c>
      <c r="G432" s="946" t="s">
        <v>1305</v>
      </c>
      <c r="H432" s="946" t="s">
        <v>2693</v>
      </c>
    </row>
    <row r="433" spans="1:8" ht="15">
      <c r="A433" s="167" t="s">
        <v>1779</v>
      </c>
      <c r="B433" s="166" t="s">
        <v>1780</v>
      </c>
      <c r="C433" s="955" t="s">
        <v>144</v>
      </c>
      <c r="D433" s="955" t="s">
        <v>147</v>
      </c>
      <c r="G433" s="946" t="s">
        <v>2372</v>
      </c>
      <c r="H433" s="946" t="s">
        <v>2373</v>
      </c>
    </row>
    <row r="434" spans="1:8" ht="15">
      <c r="A434" s="167" t="s">
        <v>871</v>
      </c>
      <c r="B434" s="166" t="s">
        <v>870</v>
      </c>
      <c r="C434" s="955" t="s">
        <v>144</v>
      </c>
      <c r="D434" s="955" t="s">
        <v>147</v>
      </c>
      <c r="G434" s="946" t="s">
        <v>1157</v>
      </c>
      <c r="H434" s="946" t="s">
        <v>2562</v>
      </c>
    </row>
    <row r="435" spans="1:8" ht="15">
      <c r="A435" s="168" t="s">
        <v>1092</v>
      </c>
      <c r="B435" s="169" t="s">
        <v>1091</v>
      </c>
      <c r="C435" s="955" t="s">
        <v>144</v>
      </c>
      <c r="D435" s="955" t="s">
        <v>147</v>
      </c>
      <c r="G435" s="946" t="s">
        <v>1196</v>
      </c>
      <c r="H435" s="946" t="s">
        <v>2468</v>
      </c>
    </row>
    <row r="436" spans="1:8" ht="15">
      <c r="A436" s="167" t="s">
        <v>1783</v>
      </c>
      <c r="B436" s="166" t="s">
        <v>1784</v>
      </c>
      <c r="C436" s="955" t="s">
        <v>144</v>
      </c>
      <c r="D436" s="955" t="s">
        <v>147</v>
      </c>
      <c r="G436" s="946" t="s">
        <v>934</v>
      </c>
      <c r="H436" s="946" t="s">
        <v>2560</v>
      </c>
    </row>
    <row r="437" spans="1:8" ht="15">
      <c r="A437" s="167" t="s">
        <v>1150</v>
      </c>
      <c r="B437" s="166" t="s">
        <v>1149</v>
      </c>
      <c r="C437" s="955" t="s">
        <v>144</v>
      </c>
      <c r="D437" s="955" t="s">
        <v>147</v>
      </c>
      <c r="G437" s="946" t="s">
        <v>1186</v>
      </c>
      <c r="H437" s="946" t="s">
        <v>2654</v>
      </c>
    </row>
    <row r="438" spans="1:8" ht="15">
      <c r="A438" s="168" t="s">
        <v>309</v>
      </c>
      <c r="B438" s="169" t="s">
        <v>308</v>
      </c>
      <c r="C438" s="955" t="s">
        <v>144</v>
      </c>
      <c r="D438" s="955" t="s">
        <v>146</v>
      </c>
      <c r="G438" s="946" t="s">
        <v>1180</v>
      </c>
      <c r="H438" s="946" t="s">
        <v>2580</v>
      </c>
    </row>
    <row r="439" spans="1:8" ht="15">
      <c r="A439" s="168" t="s">
        <v>1094</v>
      </c>
      <c r="B439" s="169" t="s">
        <v>1093</v>
      </c>
      <c r="C439" s="955" t="s">
        <v>144</v>
      </c>
      <c r="D439" s="955" t="s">
        <v>146</v>
      </c>
      <c r="G439" s="946" t="s">
        <v>2374</v>
      </c>
      <c r="H439" s="946" t="s">
        <v>2375</v>
      </c>
    </row>
    <row r="440" spans="1:8" ht="15">
      <c r="A440" s="167" t="s">
        <v>873</v>
      </c>
      <c r="B440" s="166" t="s">
        <v>872</v>
      </c>
      <c r="C440" s="955" t="s">
        <v>144</v>
      </c>
      <c r="D440" s="955" t="s">
        <v>146</v>
      </c>
      <c r="G440" s="946" t="s">
        <v>1286</v>
      </c>
      <c r="H440" s="946" t="s">
        <v>2701</v>
      </c>
    </row>
    <row r="441" spans="1:8" ht="15">
      <c r="A441" s="168" t="s">
        <v>1096</v>
      </c>
      <c r="B441" s="169" t="s">
        <v>1095</v>
      </c>
      <c r="C441" s="955" t="s">
        <v>144</v>
      </c>
      <c r="D441" s="955" t="s">
        <v>146</v>
      </c>
      <c r="G441" s="946" t="s">
        <v>1206</v>
      </c>
      <c r="H441" s="946" t="s">
        <v>2587</v>
      </c>
    </row>
    <row r="442" spans="1:8" ht="15">
      <c r="A442" s="167" t="s">
        <v>875</v>
      </c>
      <c r="B442" s="166" t="s">
        <v>874</v>
      </c>
      <c r="C442" s="955" t="s">
        <v>144</v>
      </c>
      <c r="D442" s="955" t="s">
        <v>147</v>
      </c>
      <c r="G442" s="946" t="s">
        <v>1154</v>
      </c>
      <c r="H442" s="946" t="s">
        <v>2591</v>
      </c>
    </row>
    <row r="443" spans="1:8" ht="15">
      <c r="A443" s="168" t="s">
        <v>1098</v>
      </c>
      <c r="B443" s="169" t="s">
        <v>1097</v>
      </c>
      <c r="C443" s="955" t="s">
        <v>144</v>
      </c>
      <c r="D443" s="955" t="s">
        <v>147</v>
      </c>
      <c r="G443" s="946" t="s">
        <v>1237</v>
      </c>
      <c r="H443" s="946" t="s">
        <v>2636</v>
      </c>
    </row>
    <row r="444" spans="1:8" ht="15">
      <c r="A444" s="168" t="s">
        <v>364</v>
      </c>
      <c r="B444" s="169" t="s">
        <v>363</v>
      </c>
      <c r="C444" s="955" t="s">
        <v>144</v>
      </c>
      <c r="D444" s="955" t="s">
        <v>147</v>
      </c>
      <c r="G444" s="946" t="s">
        <v>1217</v>
      </c>
      <c r="H444" s="946" t="s">
        <v>2469</v>
      </c>
    </row>
    <row r="445" spans="1:8" ht="15">
      <c r="A445" s="168" t="s">
        <v>1100</v>
      </c>
      <c r="B445" s="169" t="s">
        <v>1099</v>
      </c>
      <c r="C445" s="955" t="s">
        <v>144</v>
      </c>
      <c r="D445" s="955" t="s">
        <v>147</v>
      </c>
      <c r="G445" s="946" t="s">
        <v>1308</v>
      </c>
      <c r="H445" s="946" t="s">
        <v>2661</v>
      </c>
    </row>
    <row r="446" spans="1:8" ht="15">
      <c r="A446" s="167" t="s">
        <v>335</v>
      </c>
      <c r="B446" s="166" t="s">
        <v>334</v>
      </c>
      <c r="C446" s="955" t="s">
        <v>175</v>
      </c>
      <c r="D446" s="955" t="s">
        <v>177</v>
      </c>
      <c r="G446" s="946" t="s">
        <v>1333</v>
      </c>
      <c r="H446" s="946" t="s">
        <v>2652</v>
      </c>
    </row>
    <row r="447" spans="1:8" ht="15">
      <c r="A447" s="168" t="s">
        <v>1102</v>
      </c>
      <c r="B447" s="169" t="s">
        <v>1101</v>
      </c>
      <c r="C447" s="955" t="s">
        <v>175</v>
      </c>
      <c r="D447" s="955" t="s">
        <v>89</v>
      </c>
      <c r="G447" s="946" t="s">
        <v>936</v>
      </c>
      <c r="H447" s="946" t="s">
        <v>2471</v>
      </c>
    </row>
    <row r="448" spans="1:8" ht="15">
      <c r="A448" s="169" t="s">
        <v>524</v>
      </c>
      <c r="B448" s="169" t="s">
        <v>523</v>
      </c>
      <c r="C448" s="955"/>
      <c r="D448" s="955"/>
      <c r="G448" s="946" t="s">
        <v>2376</v>
      </c>
      <c r="H448" s="946" t="s">
        <v>2377</v>
      </c>
    </row>
    <row r="449" spans="1:8" ht="15">
      <c r="A449" s="167" t="s">
        <v>323</v>
      </c>
      <c r="B449" s="166" t="s">
        <v>322</v>
      </c>
      <c r="C449" s="955" t="s">
        <v>175</v>
      </c>
      <c r="D449" s="955" t="s">
        <v>179</v>
      </c>
      <c r="G449" s="946" t="s">
        <v>1244</v>
      </c>
      <c r="H449" s="946" t="s">
        <v>2603</v>
      </c>
    </row>
    <row r="450" spans="1:8" ht="15">
      <c r="A450" s="168" t="s">
        <v>1104</v>
      </c>
      <c r="B450" s="169" t="s">
        <v>1103</v>
      </c>
      <c r="C450" s="955" t="s">
        <v>175</v>
      </c>
      <c r="D450" s="955" t="s">
        <v>179</v>
      </c>
      <c r="G450" s="946" t="s">
        <v>1398</v>
      </c>
      <c r="H450" s="946" t="s">
        <v>2708</v>
      </c>
    </row>
    <row r="451" spans="1:8" ht="15">
      <c r="A451" s="166" t="s">
        <v>550</v>
      </c>
      <c r="B451" s="166" t="s">
        <v>523</v>
      </c>
      <c r="C451" s="955"/>
      <c r="D451" s="955"/>
      <c r="G451" s="946" t="s">
        <v>1255</v>
      </c>
      <c r="H451" s="946" t="s">
        <v>2593</v>
      </c>
    </row>
    <row r="452" spans="1:8" ht="15">
      <c r="A452" s="166" t="s">
        <v>344</v>
      </c>
      <c r="B452" s="166" t="s">
        <v>343</v>
      </c>
      <c r="C452" s="955" t="s">
        <v>175</v>
      </c>
      <c r="D452" s="955" t="s">
        <v>180</v>
      </c>
      <c r="G452" s="946" t="s">
        <v>1264</v>
      </c>
      <c r="H452" s="946" t="s">
        <v>2613</v>
      </c>
    </row>
    <row r="453" spans="1:8" ht="15">
      <c r="A453" s="168" t="s">
        <v>1106</v>
      </c>
      <c r="B453" s="169" t="s">
        <v>1105</v>
      </c>
      <c r="C453" s="955" t="s">
        <v>175</v>
      </c>
      <c r="D453" s="955" t="s">
        <v>180</v>
      </c>
      <c r="G453" s="946" t="s">
        <v>1225</v>
      </c>
      <c r="H453" s="946" t="s">
        <v>2596</v>
      </c>
    </row>
    <row r="454" spans="1:8" ht="15">
      <c r="A454" s="168" t="s">
        <v>529</v>
      </c>
      <c r="B454" s="169" t="s">
        <v>523</v>
      </c>
      <c r="C454" s="955"/>
      <c r="D454" s="955"/>
      <c r="G454" s="946" t="s">
        <v>1271</v>
      </c>
      <c r="H454" s="946" t="s">
        <v>2634</v>
      </c>
    </row>
    <row r="455" spans="1:8" ht="15">
      <c r="A455" s="166" t="s">
        <v>545</v>
      </c>
      <c r="B455" s="166" t="s">
        <v>544</v>
      </c>
      <c r="C455" s="955" t="s">
        <v>175</v>
      </c>
      <c r="D455" s="955" t="s">
        <v>179</v>
      </c>
      <c r="G455" s="946" t="s">
        <v>2378</v>
      </c>
      <c r="H455" s="946" t="s">
        <v>2379</v>
      </c>
    </row>
    <row r="456" spans="1:8" ht="15">
      <c r="A456" s="168" t="s">
        <v>1108</v>
      </c>
      <c r="B456" s="169" t="s">
        <v>1107</v>
      </c>
      <c r="C456" s="955" t="s">
        <v>175</v>
      </c>
      <c r="D456" s="955" t="s">
        <v>179</v>
      </c>
      <c r="G456" s="946" t="s">
        <v>2380</v>
      </c>
      <c r="H456" s="946" t="s">
        <v>2381</v>
      </c>
    </row>
    <row r="457" spans="1:8" ht="15">
      <c r="A457" s="167" t="s">
        <v>465</v>
      </c>
      <c r="B457" s="166" t="s">
        <v>464</v>
      </c>
      <c r="C457" s="955" t="s">
        <v>175</v>
      </c>
      <c r="D457" s="955" t="s">
        <v>177</v>
      </c>
      <c r="G457" s="946" t="s">
        <v>2382</v>
      </c>
      <c r="H457" s="946" t="s">
        <v>2383</v>
      </c>
    </row>
    <row r="458" spans="1:8" ht="15">
      <c r="A458" s="167" t="s">
        <v>483</v>
      </c>
      <c r="B458" s="166" t="s">
        <v>482</v>
      </c>
      <c r="C458" s="955" t="s">
        <v>175</v>
      </c>
      <c r="D458" s="955" t="s">
        <v>189</v>
      </c>
      <c r="G458" s="946" t="s">
        <v>2384</v>
      </c>
      <c r="H458" s="946" t="s">
        <v>2385</v>
      </c>
    </row>
    <row r="459" spans="1:8" ht="15">
      <c r="A459" s="168" t="s">
        <v>1110</v>
      </c>
      <c r="B459" s="169" t="s">
        <v>1109</v>
      </c>
      <c r="C459" s="955" t="s">
        <v>1646</v>
      </c>
      <c r="D459" s="955" t="s">
        <v>89</v>
      </c>
      <c r="G459" s="946" t="s">
        <v>399</v>
      </c>
      <c r="H459" s="946" t="s">
        <v>2472</v>
      </c>
    </row>
    <row r="460" spans="1:8" ht="15">
      <c r="A460" s="167" t="s">
        <v>1877</v>
      </c>
      <c r="B460" s="166" t="s">
        <v>1878</v>
      </c>
      <c r="C460" s="955" t="s">
        <v>1646</v>
      </c>
      <c r="D460" s="955" t="s">
        <v>178</v>
      </c>
      <c r="G460" s="946" t="s">
        <v>1391</v>
      </c>
      <c r="H460" s="946" t="s">
        <v>2473</v>
      </c>
    </row>
    <row r="461" spans="1:8" ht="15">
      <c r="A461" s="166" t="s">
        <v>467</v>
      </c>
      <c r="B461" s="166" t="s">
        <v>466</v>
      </c>
      <c r="C461" s="955" t="s">
        <v>175</v>
      </c>
      <c r="D461" s="955" t="s">
        <v>178</v>
      </c>
      <c r="G461" s="946" t="s">
        <v>1374</v>
      </c>
      <c r="H461" s="946" t="s">
        <v>2675</v>
      </c>
    </row>
    <row r="462" spans="1:8" ht="15">
      <c r="A462" s="168" t="s">
        <v>1112</v>
      </c>
      <c r="B462" s="169" t="s">
        <v>1111</v>
      </c>
      <c r="C462" s="955" t="s">
        <v>175</v>
      </c>
      <c r="D462" s="955" t="s">
        <v>89</v>
      </c>
      <c r="G462" s="946" t="s">
        <v>1357</v>
      </c>
      <c r="H462" s="946" t="s">
        <v>2715</v>
      </c>
    </row>
    <row r="463" spans="1:8" ht="15">
      <c r="A463" s="166" t="s">
        <v>877</v>
      </c>
      <c r="B463" s="166" t="s">
        <v>876</v>
      </c>
      <c r="C463" s="955" t="s">
        <v>175</v>
      </c>
      <c r="D463" s="955" t="s">
        <v>178</v>
      </c>
      <c r="G463" s="946" t="s">
        <v>2624</v>
      </c>
      <c r="H463" s="946" t="s">
        <v>2765</v>
      </c>
    </row>
    <row r="464" spans="1:8" ht="15">
      <c r="A464" s="168" t="s">
        <v>1114</v>
      </c>
      <c r="B464" s="169" t="s">
        <v>1113</v>
      </c>
      <c r="C464" s="955" t="s">
        <v>175</v>
      </c>
      <c r="D464" s="955" t="s">
        <v>89</v>
      </c>
      <c r="G464" s="946" t="s">
        <v>1342</v>
      </c>
      <c r="H464" s="946" t="s">
        <v>2731</v>
      </c>
    </row>
    <row r="465" spans="1:8" ht="15">
      <c r="A465" s="167" t="s">
        <v>522</v>
      </c>
      <c r="B465" s="166" t="s">
        <v>521</v>
      </c>
      <c r="C465" s="955" t="s">
        <v>175</v>
      </c>
      <c r="D465" s="955" t="s">
        <v>178</v>
      </c>
      <c r="G465" s="946" t="s">
        <v>1249</v>
      </c>
      <c r="H465" s="946" t="s">
        <v>2800</v>
      </c>
    </row>
    <row r="466" spans="1:8" ht="15">
      <c r="A466" s="168" t="s">
        <v>1116</v>
      </c>
      <c r="B466" s="169" t="s">
        <v>1115</v>
      </c>
      <c r="C466" s="955" t="s">
        <v>1646</v>
      </c>
      <c r="D466" s="955" t="s">
        <v>178</v>
      </c>
      <c r="G466" s="946" t="s">
        <v>1328</v>
      </c>
      <c r="H466" s="946" t="s">
        <v>2722</v>
      </c>
    </row>
    <row r="467" spans="1:8" ht="15">
      <c r="A467" s="167" t="s">
        <v>430</v>
      </c>
      <c r="B467" s="166" t="s">
        <v>429</v>
      </c>
      <c r="C467" s="955" t="s">
        <v>175</v>
      </c>
      <c r="D467" s="955" t="s">
        <v>181</v>
      </c>
      <c r="G467" s="946" t="s">
        <v>1252</v>
      </c>
      <c r="H467" s="946" t="s">
        <v>2667</v>
      </c>
    </row>
    <row r="468" spans="1:8" ht="15">
      <c r="A468" s="168" t="s">
        <v>1118</v>
      </c>
      <c r="B468" s="169" t="s">
        <v>1117</v>
      </c>
      <c r="C468" s="955" t="s">
        <v>175</v>
      </c>
      <c r="D468" s="955" t="s">
        <v>89</v>
      </c>
      <c r="G468" s="946" t="s">
        <v>1283</v>
      </c>
      <c r="H468" s="946" t="s">
        <v>2733</v>
      </c>
    </row>
    <row r="469" spans="1:8" ht="15">
      <c r="A469" s="167" t="s">
        <v>533</v>
      </c>
      <c r="B469" s="166" t="s">
        <v>532</v>
      </c>
      <c r="C469" s="955" t="s">
        <v>175</v>
      </c>
      <c r="D469" s="955" t="s">
        <v>181</v>
      </c>
      <c r="G469" s="946" t="s">
        <v>1164</v>
      </c>
      <c r="H469" s="946" t="s">
        <v>2578</v>
      </c>
    </row>
    <row r="470" spans="1:8" ht="15">
      <c r="A470" s="168" t="s">
        <v>1120</v>
      </c>
      <c r="B470" s="169" t="s">
        <v>1119</v>
      </c>
      <c r="C470" s="955" t="s">
        <v>1646</v>
      </c>
      <c r="D470" s="955" t="s">
        <v>89</v>
      </c>
      <c r="G470" s="946" t="s">
        <v>1305</v>
      </c>
      <c r="H470" s="946" t="s">
        <v>2744</v>
      </c>
    </row>
    <row r="471" spans="1:8" ht="15">
      <c r="A471" s="167" t="s">
        <v>368</v>
      </c>
      <c r="B471" s="166" t="s">
        <v>367</v>
      </c>
      <c r="C471" s="955" t="s">
        <v>175</v>
      </c>
      <c r="D471" s="955" t="s">
        <v>1922</v>
      </c>
      <c r="G471" s="946" t="s">
        <v>1157</v>
      </c>
      <c r="H471" s="946" t="s">
        <v>2598</v>
      </c>
    </row>
    <row r="472" spans="1:8" ht="15">
      <c r="A472" s="168" t="s">
        <v>1122</v>
      </c>
      <c r="B472" s="169" t="s">
        <v>1121</v>
      </c>
      <c r="C472" s="955" t="s">
        <v>175</v>
      </c>
      <c r="D472" s="955" t="s">
        <v>89</v>
      </c>
      <c r="G472" s="946" t="s">
        <v>932</v>
      </c>
      <c r="H472" s="946" t="s">
        <v>2474</v>
      </c>
    </row>
    <row r="473" spans="1:8" ht="15">
      <c r="A473" s="167" t="s">
        <v>386</v>
      </c>
      <c r="B473" s="166" t="s">
        <v>385</v>
      </c>
      <c r="C473" s="955" t="s">
        <v>175</v>
      </c>
      <c r="D473" s="955" t="s">
        <v>186</v>
      </c>
      <c r="G473" s="946" t="s">
        <v>934</v>
      </c>
      <c r="H473" s="946" t="s">
        <v>2573</v>
      </c>
    </row>
    <row r="474" spans="1:8" ht="15">
      <c r="A474" s="168" t="s">
        <v>1124</v>
      </c>
      <c r="B474" s="169" t="s">
        <v>1123</v>
      </c>
      <c r="C474" s="955" t="s">
        <v>1646</v>
      </c>
      <c r="D474" s="955" t="s">
        <v>89</v>
      </c>
      <c r="G474" s="946" t="s">
        <v>1186</v>
      </c>
      <c r="H474" s="946" t="s">
        <v>2631</v>
      </c>
    </row>
    <row r="475" spans="1:8" ht="15">
      <c r="A475" s="171" t="s">
        <v>1643</v>
      </c>
      <c r="B475" s="171" t="s">
        <v>1578</v>
      </c>
      <c r="C475" s="955" t="s">
        <v>75</v>
      </c>
      <c r="D475" s="955" t="s">
        <v>89</v>
      </c>
      <c r="G475" s="946" t="s">
        <v>1180</v>
      </c>
      <c r="H475" s="946" t="s">
        <v>2610</v>
      </c>
    </row>
    <row r="476" spans="1:8" ht="15">
      <c r="A476" s="950" t="s">
        <v>1645</v>
      </c>
      <c r="B476" s="171" t="s">
        <v>1579</v>
      </c>
      <c r="C476" s="955" t="s">
        <v>75</v>
      </c>
      <c r="D476" s="955" t="s">
        <v>89</v>
      </c>
      <c r="G476" s="946" t="s">
        <v>1286</v>
      </c>
      <c r="H476" s="946" t="s">
        <v>2739</v>
      </c>
    </row>
    <row r="477" spans="1:8" ht="15">
      <c r="A477" s="950" t="s">
        <v>1530</v>
      </c>
      <c r="B477" s="171" t="s">
        <v>1529</v>
      </c>
      <c r="C477" s="955" t="s">
        <v>75</v>
      </c>
      <c r="D477" s="955" t="s">
        <v>89</v>
      </c>
      <c r="G477" s="946" t="s">
        <v>1206</v>
      </c>
      <c r="H477" s="946" t="s">
        <v>2646</v>
      </c>
    </row>
    <row r="478" spans="1:8" ht="15">
      <c r="A478" s="950" t="s">
        <v>879</v>
      </c>
      <c r="B478" s="171" t="s">
        <v>878</v>
      </c>
      <c r="C478" s="955" t="s">
        <v>75</v>
      </c>
      <c r="D478" s="955" t="s">
        <v>90</v>
      </c>
      <c r="G478" s="946" t="s">
        <v>1154</v>
      </c>
      <c r="H478" s="946" t="s">
        <v>2630</v>
      </c>
    </row>
    <row r="479" spans="1:8" ht="15">
      <c r="A479" s="951" t="s">
        <v>1525</v>
      </c>
      <c r="B479" s="957" t="s">
        <v>1524</v>
      </c>
      <c r="C479" s="955" t="s">
        <v>75</v>
      </c>
      <c r="D479" s="955" t="s">
        <v>90</v>
      </c>
      <c r="G479" s="946" t="s">
        <v>1237</v>
      </c>
      <c r="H479" s="946" t="s">
        <v>2704</v>
      </c>
    </row>
    <row r="480" spans="1:8" ht="15">
      <c r="A480" s="950" t="s">
        <v>881</v>
      </c>
      <c r="B480" s="171" t="s">
        <v>880</v>
      </c>
      <c r="C480" s="955" t="s">
        <v>75</v>
      </c>
      <c r="D480" s="955" t="s">
        <v>89</v>
      </c>
      <c r="G480" s="946" t="s">
        <v>1294</v>
      </c>
      <c r="H480" s="946" t="s">
        <v>2475</v>
      </c>
    </row>
    <row r="481" spans="1:8" ht="15">
      <c r="A481" s="950" t="s">
        <v>1571</v>
      </c>
      <c r="B481" s="171" t="s">
        <v>1570</v>
      </c>
      <c r="C481" s="955" t="s">
        <v>75</v>
      </c>
      <c r="D481" s="955" t="s">
        <v>90</v>
      </c>
      <c r="G481" s="946" t="s">
        <v>1308</v>
      </c>
      <c r="H481" s="946" t="s">
        <v>2775</v>
      </c>
    </row>
    <row r="482" spans="1:8" ht="15">
      <c r="A482" s="167" t="s">
        <v>1537</v>
      </c>
      <c r="B482" s="166" t="s">
        <v>1536</v>
      </c>
      <c r="C482" s="955" t="s">
        <v>75</v>
      </c>
      <c r="D482" s="955" t="s">
        <v>90</v>
      </c>
      <c r="G482" s="946" t="s">
        <v>1333</v>
      </c>
      <c r="H482" s="946" t="s">
        <v>2718</v>
      </c>
    </row>
    <row r="483" spans="1:8" ht="15">
      <c r="A483" s="950" t="s">
        <v>1539</v>
      </c>
      <c r="B483" s="171" t="s">
        <v>1538</v>
      </c>
      <c r="C483" s="955" t="s">
        <v>75</v>
      </c>
      <c r="D483" s="955" t="s">
        <v>89</v>
      </c>
      <c r="G483" s="946" t="s">
        <v>936</v>
      </c>
      <c r="H483" s="946" t="s">
        <v>2476</v>
      </c>
    </row>
    <row r="484" spans="1:8" ht="15">
      <c r="A484" s="950" t="s">
        <v>883</v>
      </c>
      <c r="B484" s="171" t="s">
        <v>882</v>
      </c>
      <c r="C484" s="955" t="s">
        <v>75</v>
      </c>
      <c r="D484" s="955" t="s">
        <v>89</v>
      </c>
      <c r="G484" s="946" t="s">
        <v>2386</v>
      </c>
      <c r="H484" s="946" t="s">
        <v>2387</v>
      </c>
    </row>
    <row r="485" spans="1:8" ht="15">
      <c r="A485" s="950" t="s">
        <v>886</v>
      </c>
      <c r="B485" s="171" t="s">
        <v>885</v>
      </c>
      <c r="C485" s="955" t="s">
        <v>75</v>
      </c>
      <c r="D485" s="955" t="s">
        <v>89</v>
      </c>
      <c r="G485" s="946" t="s">
        <v>1316</v>
      </c>
      <c r="H485" s="946" t="s">
        <v>2671</v>
      </c>
    </row>
    <row r="486" spans="1:8" ht="15">
      <c r="A486" s="950" t="s">
        <v>888</v>
      </c>
      <c r="B486" s="171" t="s">
        <v>887</v>
      </c>
      <c r="C486" s="955" t="s">
        <v>75</v>
      </c>
      <c r="D486" s="955" t="s">
        <v>89</v>
      </c>
      <c r="G486" s="946" t="s">
        <v>1457</v>
      </c>
      <c r="H486" s="946" t="s">
        <v>2760</v>
      </c>
    </row>
    <row r="487" spans="1:8" ht="15">
      <c r="A487" s="950" t="s">
        <v>1650</v>
      </c>
      <c r="B487" s="171" t="s">
        <v>1581</v>
      </c>
      <c r="C487" s="955" t="s">
        <v>75</v>
      </c>
      <c r="D487" s="955" t="s">
        <v>89</v>
      </c>
      <c r="G487" s="946" t="s">
        <v>1352</v>
      </c>
      <c r="H487" s="946" t="s">
        <v>2660</v>
      </c>
    </row>
    <row r="488" spans="1:8" ht="15">
      <c r="A488" s="950" t="s">
        <v>890</v>
      </c>
      <c r="B488" s="171" t="s">
        <v>889</v>
      </c>
      <c r="C488" s="955" t="s">
        <v>75</v>
      </c>
      <c r="D488" s="955" t="s">
        <v>89</v>
      </c>
      <c r="G488" s="946" t="s">
        <v>1344</v>
      </c>
      <c r="H488" s="946" t="s">
        <v>2686</v>
      </c>
    </row>
    <row r="489" spans="1:8" ht="15">
      <c r="A489" s="950" t="s">
        <v>1654</v>
      </c>
      <c r="B489" s="171" t="s">
        <v>1585</v>
      </c>
      <c r="C489" s="955" t="s">
        <v>75</v>
      </c>
      <c r="D489" s="955" t="s">
        <v>89</v>
      </c>
      <c r="G489" s="946" t="s">
        <v>1278</v>
      </c>
      <c r="H489" s="946" t="s">
        <v>2665</v>
      </c>
    </row>
    <row r="490" spans="1:8" ht="15">
      <c r="A490" s="950" t="s">
        <v>1656</v>
      </c>
      <c r="B490" s="171" t="s">
        <v>1560</v>
      </c>
      <c r="C490" s="955" t="s">
        <v>75</v>
      </c>
      <c r="D490" s="955" t="s">
        <v>89</v>
      </c>
      <c r="G490" s="946" t="s">
        <v>1371</v>
      </c>
      <c r="H490" s="946" t="s">
        <v>2703</v>
      </c>
    </row>
    <row r="491" spans="1:8" ht="15">
      <c r="A491" s="171" t="s">
        <v>1561</v>
      </c>
      <c r="B491" s="171" t="s">
        <v>1560</v>
      </c>
      <c r="C491" s="955" t="s">
        <v>75</v>
      </c>
      <c r="D491" s="955" t="s">
        <v>89</v>
      </c>
      <c r="G491" s="946" t="s">
        <v>2218</v>
      </c>
      <c r="H491" s="946" t="s">
        <v>2219</v>
      </c>
    </row>
    <row r="492" spans="1:8" ht="15">
      <c r="A492" s="950" t="s">
        <v>1659</v>
      </c>
      <c r="B492" s="171" t="s">
        <v>1588</v>
      </c>
      <c r="C492" s="955" t="s">
        <v>75</v>
      </c>
      <c r="D492" s="955" t="s">
        <v>89</v>
      </c>
      <c r="G492" s="946" t="s">
        <v>2220</v>
      </c>
      <c r="H492" s="946" t="s">
        <v>2221</v>
      </c>
    </row>
    <row r="493" spans="1:8" ht="15">
      <c r="A493" s="950" t="s">
        <v>1506</v>
      </c>
      <c r="B493" s="171" t="s">
        <v>1505</v>
      </c>
      <c r="C493" s="955" t="s">
        <v>75</v>
      </c>
      <c r="D493" s="955" t="s">
        <v>89</v>
      </c>
      <c r="G493" s="946" t="s">
        <v>2222</v>
      </c>
      <c r="H493" s="946" t="s">
        <v>2223</v>
      </c>
    </row>
    <row r="494" spans="1:8" ht="15">
      <c r="A494" s="950" t="s">
        <v>1665</v>
      </c>
      <c r="B494" s="171" t="s">
        <v>1593</v>
      </c>
      <c r="C494" s="955" t="s">
        <v>75</v>
      </c>
      <c r="D494" s="955" t="s">
        <v>89</v>
      </c>
      <c r="G494" s="946" t="s">
        <v>2053</v>
      </c>
      <c r="H494" s="946" t="s">
        <v>2054</v>
      </c>
    </row>
    <row r="495" spans="1:8" ht="15">
      <c r="A495" s="167" t="s">
        <v>1719</v>
      </c>
      <c r="B495" s="171" t="s">
        <v>1720</v>
      </c>
      <c r="C495" s="955" t="s">
        <v>75</v>
      </c>
      <c r="D495" s="955" t="s">
        <v>90</v>
      </c>
      <c r="G495" s="946" t="s">
        <v>2138</v>
      </c>
      <c r="H495" s="946" t="s">
        <v>2139</v>
      </c>
    </row>
    <row r="496" spans="1:8" ht="15">
      <c r="A496" s="950" t="s">
        <v>1666</v>
      </c>
      <c r="B496" s="171" t="s">
        <v>1595</v>
      </c>
      <c r="C496" s="955" t="s">
        <v>75</v>
      </c>
      <c r="D496" s="955" t="s">
        <v>89</v>
      </c>
      <c r="G496" s="946" t="s">
        <v>2077</v>
      </c>
      <c r="H496" s="946" t="s">
        <v>2078</v>
      </c>
    </row>
    <row r="497" spans="1:8" ht="15">
      <c r="A497" s="953" t="s">
        <v>1676</v>
      </c>
      <c r="B497" s="958" t="s">
        <v>1604</v>
      </c>
      <c r="C497" s="955" t="s">
        <v>75</v>
      </c>
      <c r="D497" s="955" t="s">
        <v>89</v>
      </c>
      <c r="G497" s="946" t="s">
        <v>2170</v>
      </c>
      <c r="H497" s="946" t="s">
        <v>2076</v>
      </c>
    </row>
    <row r="498" spans="1:8" ht="15">
      <c r="A498" s="950" t="s">
        <v>1532</v>
      </c>
      <c r="B498" s="171" t="s">
        <v>1531</v>
      </c>
      <c r="C498" s="955" t="s">
        <v>75</v>
      </c>
      <c r="D498" s="955" t="s">
        <v>89</v>
      </c>
      <c r="G498" s="946" t="s">
        <v>2084</v>
      </c>
      <c r="H498" s="946" t="s">
        <v>2085</v>
      </c>
    </row>
    <row r="499" spans="1:8" ht="15">
      <c r="A499" s="950" t="s">
        <v>1668</v>
      </c>
      <c r="B499" s="171" t="s">
        <v>1597</v>
      </c>
      <c r="C499" s="955" t="s">
        <v>75</v>
      </c>
      <c r="D499" s="955" t="s">
        <v>89</v>
      </c>
      <c r="G499" s="946" t="s">
        <v>2171</v>
      </c>
      <c r="H499" s="946" t="s">
        <v>2172</v>
      </c>
    </row>
    <row r="500" spans="1:8" ht="15">
      <c r="A500" s="950" t="s">
        <v>1502</v>
      </c>
      <c r="B500" s="171" t="s">
        <v>1501</v>
      </c>
      <c r="C500" s="955" t="s">
        <v>75</v>
      </c>
      <c r="D500" s="955" t="s">
        <v>89</v>
      </c>
      <c r="G500" s="946" t="s">
        <v>2179</v>
      </c>
      <c r="H500" s="946" t="s">
        <v>2180</v>
      </c>
    </row>
    <row r="501" spans="1:8" ht="15">
      <c r="A501" s="950" t="s">
        <v>1670</v>
      </c>
      <c r="B501" s="171" t="s">
        <v>1599</v>
      </c>
      <c r="C501" s="955" t="s">
        <v>75</v>
      </c>
      <c r="D501" s="955" t="s">
        <v>89</v>
      </c>
      <c r="G501" s="946" t="s">
        <v>2092</v>
      </c>
      <c r="H501" s="946" t="s">
        <v>2093</v>
      </c>
    </row>
    <row r="502" spans="1:8" ht="15">
      <c r="A502" s="953" t="s">
        <v>1535</v>
      </c>
      <c r="B502" s="957" t="s">
        <v>1534</v>
      </c>
      <c r="C502" s="955" t="s">
        <v>75</v>
      </c>
      <c r="D502" s="955" t="s">
        <v>89</v>
      </c>
      <c r="G502" s="946" t="s">
        <v>2074</v>
      </c>
      <c r="H502" s="946" t="s">
        <v>2075</v>
      </c>
    </row>
    <row r="503" spans="1:8" ht="15">
      <c r="A503" s="950" t="s">
        <v>1674</v>
      </c>
      <c r="B503" s="959" t="s">
        <v>1602</v>
      </c>
      <c r="C503" s="955" t="s">
        <v>75</v>
      </c>
      <c r="D503" s="955" t="s">
        <v>89</v>
      </c>
      <c r="G503" s="946" t="s">
        <v>2088</v>
      </c>
      <c r="H503" s="946" t="s">
        <v>2089</v>
      </c>
    </row>
    <row r="504" spans="1:8" ht="15">
      <c r="A504" s="176" t="s">
        <v>1715</v>
      </c>
      <c r="B504" s="960" t="s">
        <v>1716</v>
      </c>
      <c r="C504" s="955" t="s">
        <v>75</v>
      </c>
      <c r="D504" s="955" t="s">
        <v>90</v>
      </c>
      <c r="G504" s="946" t="s">
        <v>2096</v>
      </c>
      <c r="H504" s="946" t="s">
        <v>2097</v>
      </c>
    </row>
    <row r="505" spans="1:8" ht="15">
      <c r="A505" s="953" t="s">
        <v>1679</v>
      </c>
      <c r="B505" s="957" t="s">
        <v>1607</v>
      </c>
      <c r="C505" s="955" t="s">
        <v>75</v>
      </c>
      <c r="D505" s="955" t="s">
        <v>89</v>
      </c>
      <c r="G505" s="946" t="s">
        <v>2080</v>
      </c>
      <c r="H505" s="946" t="s">
        <v>2081</v>
      </c>
    </row>
    <row r="506" spans="1:8" ht="15">
      <c r="A506" s="950" t="s">
        <v>1683</v>
      </c>
      <c r="B506" s="957" t="s">
        <v>1610</v>
      </c>
      <c r="C506" s="955" t="s">
        <v>75</v>
      </c>
      <c r="D506" s="955" t="s">
        <v>89</v>
      </c>
      <c r="G506" s="946" t="s">
        <v>2062</v>
      </c>
      <c r="H506" s="946" t="s">
        <v>2063</v>
      </c>
    </row>
    <row r="507" spans="1:8" ht="15">
      <c r="A507" s="950" t="s">
        <v>892</v>
      </c>
      <c r="B507" s="171" t="s">
        <v>891</v>
      </c>
      <c r="C507" s="955" t="s">
        <v>75</v>
      </c>
      <c r="D507" s="955" t="s">
        <v>89</v>
      </c>
      <c r="G507" s="946" t="s">
        <v>2650</v>
      </c>
      <c r="H507" s="946" t="s">
        <v>2176</v>
      </c>
    </row>
    <row r="508" spans="1:8" ht="15">
      <c r="A508" s="950" t="s">
        <v>1512</v>
      </c>
      <c r="B508" s="171" t="s">
        <v>1511</v>
      </c>
      <c r="C508" s="955" t="s">
        <v>75</v>
      </c>
      <c r="D508" s="955" t="s">
        <v>89</v>
      </c>
      <c r="G508" s="946" t="s">
        <v>2174</v>
      </c>
      <c r="H508" s="946" t="s">
        <v>2175</v>
      </c>
    </row>
    <row r="509" spans="1:8" ht="15">
      <c r="A509" s="950" t="s">
        <v>1573</v>
      </c>
      <c r="B509" s="171" t="s">
        <v>1572</v>
      </c>
      <c r="C509" s="955" t="s">
        <v>75</v>
      </c>
      <c r="D509" s="955" t="s">
        <v>90</v>
      </c>
      <c r="G509" s="946" t="s">
        <v>1389</v>
      </c>
      <c r="H509" s="946" t="s">
        <v>2599</v>
      </c>
    </row>
    <row r="510" spans="1:8" ht="15">
      <c r="A510" s="950" t="s">
        <v>1551</v>
      </c>
      <c r="B510" s="171" t="s">
        <v>1550</v>
      </c>
      <c r="C510" s="955" t="s">
        <v>75</v>
      </c>
      <c r="D510" s="955" t="s">
        <v>90</v>
      </c>
      <c r="G510" s="946" t="s">
        <v>1385</v>
      </c>
      <c r="H510" s="946" t="s">
        <v>2782</v>
      </c>
    </row>
    <row r="511" spans="1:8">
      <c r="A511" s="167" t="s">
        <v>1732</v>
      </c>
      <c r="B511" s="171" t="s">
        <v>1733</v>
      </c>
      <c r="C511" s="955" t="s">
        <v>75</v>
      </c>
      <c r="D511" s="955" t="s">
        <v>90</v>
      </c>
    </row>
    <row r="512" spans="1:8">
      <c r="A512" s="950" t="s">
        <v>1686</v>
      </c>
      <c r="B512" s="171" t="s">
        <v>1612</v>
      </c>
      <c r="C512" s="955" t="s">
        <v>75</v>
      </c>
      <c r="D512" s="955" t="s">
        <v>89</v>
      </c>
    </row>
    <row r="513" spans="1:4">
      <c r="A513" s="950" t="s">
        <v>1688</v>
      </c>
      <c r="B513" s="171" t="s">
        <v>1614</v>
      </c>
      <c r="C513" s="955" t="s">
        <v>75</v>
      </c>
      <c r="D513" s="955" t="s">
        <v>89</v>
      </c>
    </row>
    <row r="514" spans="1:4">
      <c r="A514" s="950" t="s">
        <v>1690</v>
      </c>
      <c r="B514" s="171" t="s">
        <v>1616</v>
      </c>
      <c r="C514" s="955" t="s">
        <v>75</v>
      </c>
      <c r="D514" s="955" t="s">
        <v>89</v>
      </c>
    </row>
    <row r="515" spans="1:4">
      <c r="A515" s="950" t="s">
        <v>894</v>
      </c>
      <c r="B515" s="171" t="s">
        <v>893</v>
      </c>
      <c r="C515" s="955" t="s">
        <v>75</v>
      </c>
      <c r="D515" s="955" t="s">
        <v>89</v>
      </c>
    </row>
    <row r="516" spans="1:4">
      <c r="A516" s="950" t="s">
        <v>1508</v>
      </c>
      <c r="B516" s="171" t="s">
        <v>1507</v>
      </c>
      <c r="C516" s="955" t="s">
        <v>75</v>
      </c>
      <c r="D516" s="955" t="s">
        <v>89</v>
      </c>
    </row>
    <row r="517" spans="1:4">
      <c r="A517" s="950" t="s">
        <v>1692</v>
      </c>
      <c r="B517" s="171" t="s">
        <v>1618</v>
      </c>
      <c r="C517" s="955" t="s">
        <v>75</v>
      </c>
      <c r="D517" s="955" t="s">
        <v>89</v>
      </c>
    </row>
    <row r="518" spans="1:4">
      <c r="A518" s="950" t="s">
        <v>1694</v>
      </c>
      <c r="B518" s="171" t="s">
        <v>1620</v>
      </c>
      <c r="C518" s="955" t="s">
        <v>75</v>
      </c>
      <c r="D518" s="955" t="s">
        <v>89</v>
      </c>
    </row>
    <row r="519" spans="1:4">
      <c r="A519" s="950" t="s">
        <v>1696</v>
      </c>
      <c r="B519" s="171" t="s">
        <v>1622</v>
      </c>
      <c r="C519" s="955" t="s">
        <v>75</v>
      </c>
      <c r="D519" s="955" t="s">
        <v>89</v>
      </c>
    </row>
    <row r="520" spans="1:4">
      <c r="A520" s="950" t="s">
        <v>896</v>
      </c>
      <c r="B520" s="171" t="s">
        <v>895</v>
      </c>
      <c r="C520" s="955" t="s">
        <v>75</v>
      </c>
      <c r="D520" s="955" t="s">
        <v>89</v>
      </c>
    </row>
    <row r="521" spans="1:4">
      <c r="A521" s="950" t="s">
        <v>1498</v>
      </c>
      <c r="B521" s="171" t="s">
        <v>1497</v>
      </c>
      <c r="C521" s="955" t="s">
        <v>75</v>
      </c>
      <c r="D521" s="955" t="s">
        <v>89</v>
      </c>
    </row>
    <row r="522" spans="1:4">
      <c r="A522" s="950" t="s">
        <v>1698</v>
      </c>
      <c r="B522" s="171" t="s">
        <v>1624</v>
      </c>
      <c r="C522" s="955" t="s">
        <v>75</v>
      </c>
      <c r="D522" s="955" t="s">
        <v>89</v>
      </c>
    </row>
    <row r="523" spans="1:4">
      <c r="A523" s="950" t="s">
        <v>1510</v>
      </c>
      <c r="B523" s="171" t="s">
        <v>1509</v>
      </c>
      <c r="C523" s="955" t="s">
        <v>75</v>
      </c>
      <c r="D523" s="955" t="s">
        <v>89</v>
      </c>
    </row>
    <row r="524" spans="1:4">
      <c r="A524" s="950" t="s">
        <v>1545</v>
      </c>
      <c r="B524" s="171" t="s">
        <v>1544</v>
      </c>
      <c r="C524" s="955" t="s">
        <v>75</v>
      </c>
      <c r="D524" s="955" t="s">
        <v>90</v>
      </c>
    </row>
    <row r="525" spans="1:4">
      <c r="A525" s="167" t="s">
        <v>1723</v>
      </c>
      <c r="B525" s="171" t="s">
        <v>1724</v>
      </c>
      <c r="C525" s="955" t="s">
        <v>75</v>
      </c>
      <c r="D525" s="955" t="s">
        <v>90</v>
      </c>
    </row>
    <row r="526" spans="1:4">
      <c r="A526" s="950" t="s">
        <v>1711</v>
      </c>
      <c r="B526" s="171" t="s">
        <v>1636</v>
      </c>
      <c r="C526" s="955" t="s">
        <v>75</v>
      </c>
      <c r="D526" s="955" t="s">
        <v>89</v>
      </c>
    </row>
    <row r="527" spans="1:4">
      <c r="A527" s="171" t="s">
        <v>898</v>
      </c>
      <c r="B527" s="171" t="s">
        <v>897</v>
      </c>
      <c r="C527" s="955" t="s">
        <v>75</v>
      </c>
      <c r="D527" s="955" t="s">
        <v>89</v>
      </c>
    </row>
    <row r="528" spans="1:4">
      <c r="A528" s="167" t="s">
        <v>1489</v>
      </c>
      <c r="B528" s="166" t="s">
        <v>1488</v>
      </c>
      <c r="C528" s="955" t="s">
        <v>75</v>
      </c>
      <c r="D528" s="955" t="s">
        <v>98</v>
      </c>
    </row>
    <row r="529" spans="1:4">
      <c r="A529" s="171" t="s">
        <v>1704</v>
      </c>
      <c r="B529" s="171" t="s">
        <v>1629</v>
      </c>
      <c r="C529" s="955" t="s">
        <v>75</v>
      </c>
      <c r="D529" s="955" t="s">
        <v>89</v>
      </c>
    </row>
    <row r="530" spans="1:4">
      <c r="A530" s="171" t="s">
        <v>1706</v>
      </c>
      <c r="B530" s="171" t="s">
        <v>1631</v>
      </c>
      <c r="C530" s="955" t="s">
        <v>75</v>
      </c>
      <c r="D530" s="955" t="s">
        <v>89</v>
      </c>
    </row>
    <row r="531" spans="1:4">
      <c r="A531" s="950" t="s">
        <v>1495</v>
      </c>
      <c r="B531" s="171" t="s">
        <v>1494</v>
      </c>
      <c r="C531" s="955" t="s">
        <v>75</v>
      </c>
      <c r="D531" s="955" t="s">
        <v>89</v>
      </c>
    </row>
    <row r="532" spans="1:4">
      <c r="A532" s="167" t="s">
        <v>1564</v>
      </c>
      <c r="B532" s="166" t="s">
        <v>1563</v>
      </c>
      <c r="C532" s="955" t="s">
        <v>75</v>
      </c>
      <c r="D532" s="955" t="s">
        <v>95</v>
      </c>
    </row>
    <row r="533" spans="1:4">
      <c r="A533" s="168" t="s">
        <v>1548</v>
      </c>
      <c r="B533" s="169" t="s">
        <v>1547</v>
      </c>
      <c r="C533" s="955" t="s">
        <v>75</v>
      </c>
      <c r="D533" s="955" t="s">
        <v>94</v>
      </c>
    </row>
    <row r="534" spans="1:4">
      <c r="A534" s="168" t="s">
        <v>1569</v>
      </c>
      <c r="B534" s="169" t="s">
        <v>1568</v>
      </c>
      <c r="C534" s="955" t="s">
        <v>75</v>
      </c>
      <c r="D534" s="955" t="s">
        <v>94</v>
      </c>
    </row>
    <row r="535" spans="1:4">
      <c r="A535" s="167" t="s">
        <v>1726</v>
      </c>
      <c r="B535" s="171" t="s">
        <v>1727</v>
      </c>
      <c r="C535" s="955" t="s">
        <v>75</v>
      </c>
      <c r="D535" s="955" t="s">
        <v>90</v>
      </c>
    </row>
    <row r="536" spans="1:4">
      <c r="A536" s="950" t="s">
        <v>1709</v>
      </c>
      <c r="B536" s="171" t="s">
        <v>1634</v>
      </c>
      <c r="C536" s="955" t="s">
        <v>75</v>
      </c>
      <c r="D536" s="955" t="s">
        <v>89</v>
      </c>
    </row>
    <row r="537" spans="1:4">
      <c r="A537" s="950" t="s">
        <v>1702</v>
      </c>
      <c r="B537" s="171" t="s">
        <v>1627</v>
      </c>
      <c r="C537" s="955" t="s">
        <v>75</v>
      </c>
      <c r="D537" s="955" t="s">
        <v>89</v>
      </c>
    </row>
    <row r="538" spans="1:4">
      <c r="A538" s="950" t="s">
        <v>900</v>
      </c>
      <c r="B538" s="171" t="s">
        <v>899</v>
      </c>
      <c r="C538" s="955" t="s">
        <v>75</v>
      </c>
      <c r="D538" s="955" t="s">
        <v>89</v>
      </c>
    </row>
    <row r="539" spans="1:4">
      <c r="A539" s="950" t="s">
        <v>1553</v>
      </c>
      <c r="B539" s="171" t="s">
        <v>1552</v>
      </c>
      <c r="C539" s="955" t="s">
        <v>75</v>
      </c>
      <c r="D539" s="955" t="s">
        <v>90</v>
      </c>
    </row>
    <row r="540" spans="1:4">
      <c r="A540" s="167" t="s">
        <v>1736</v>
      </c>
      <c r="B540" s="166" t="s">
        <v>1737</v>
      </c>
      <c r="C540" s="955" t="s">
        <v>144</v>
      </c>
      <c r="D540" s="955" t="s">
        <v>146</v>
      </c>
    </row>
    <row r="541" spans="1:4">
      <c r="A541" s="167" t="s">
        <v>902</v>
      </c>
      <c r="B541" s="166" t="s">
        <v>901</v>
      </c>
      <c r="C541" s="955" t="s">
        <v>144</v>
      </c>
      <c r="D541" s="955" t="s">
        <v>181</v>
      </c>
    </row>
    <row r="542" spans="1:4">
      <c r="A542" s="167" t="s">
        <v>904</v>
      </c>
      <c r="B542" s="166" t="s">
        <v>903</v>
      </c>
      <c r="C542" s="955" t="s">
        <v>144</v>
      </c>
      <c r="D542" s="955" t="s">
        <v>181</v>
      </c>
    </row>
    <row r="543" spans="1:4">
      <c r="A543" s="954" t="s">
        <v>1302</v>
      </c>
      <c r="B543" s="961" t="s">
        <v>1301</v>
      </c>
      <c r="C543" s="955" t="s">
        <v>144</v>
      </c>
      <c r="D543" s="955" t="s">
        <v>98</v>
      </c>
    </row>
    <row r="544" spans="1:4">
      <c r="A544" s="167" t="s">
        <v>1557</v>
      </c>
      <c r="B544" s="166" t="s">
        <v>1556</v>
      </c>
      <c r="C544" s="955" t="s">
        <v>144</v>
      </c>
      <c r="D544" s="955" t="s">
        <v>150</v>
      </c>
    </row>
    <row r="545" spans="1:4">
      <c r="A545" s="167" t="s">
        <v>1566</v>
      </c>
      <c r="B545" s="166" t="s">
        <v>1565</v>
      </c>
      <c r="C545" s="955" t="s">
        <v>144</v>
      </c>
      <c r="D545" s="955" t="s">
        <v>150</v>
      </c>
    </row>
    <row r="546" spans="1:4">
      <c r="A546" s="167" t="s">
        <v>1827</v>
      </c>
      <c r="B546" s="166" t="s">
        <v>1828</v>
      </c>
      <c r="C546" s="955" t="s">
        <v>144</v>
      </c>
      <c r="D546" s="955" t="s">
        <v>146</v>
      </c>
    </row>
    <row r="547" spans="1:4">
      <c r="A547" s="167" t="s">
        <v>1829</v>
      </c>
      <c r="B547" s="166" t="s">
        <v>1830</v>
      </c>
      <c r="C547" s="955" t="s">
        <v>144</v>
      </c>
      <c r="D547" s="955" t="s">
        <v>146</v>
      </c>
    </row>
    <row r="548" spans="1:4">
      <c r="A548" s="166" t="s">
        <v>1867</v>
      </c>
      <c r="B548" s="166" t="s">
        <v>1868</v>
      </c>
      <c r="C548" s="955" t="s">
        <v>144</v>
      </c>
      <c r="D548" s="955" t="s">
        <v>146</v>
      </c>
    </row>
    <row r="549" spans="1:4">
      <c r="A549" s="166" t="s">
        <v>1869</v>
      </c>
      <c r="B549" s="166" t="s">
        <v>1870</v>
      </c>
      <c r="C549" s="955" t="s">
        <v>144</v>
      </c>
      <c r="D549" s="955" t="s">
        <v>146</v>
      </c>
    </row>
    <row r="550" spans="1:4">
      <c r="A550" s="167" t="s">
        <v>1845</v>
      </c>
      <c r="B550" s="166" t="s">
        <v>1846</v>
      </c>
      <c r="C550" s="955" t="s">
        <v>144</v>
      </c>
      <c r="D550" s="955" t="s">
        <v>146</v>
      </c>
    </row>
    <row r="551" spans="1:4">
      <c r="A551" s="167" t="s">
        <v>1847</v>
      </c>
      <c r="B551" s="166" t="s">
        <v>1848</v>
      </c>
      <c r="C551" s="955" t="s">
        <v>144</v>
      </c>
      <c r="D551" s="955" t="s">
        <v>146</v>
      </c>
    </row>
    <row r="552" spans="1:4">
      <c r="A552" s="167" t="s">
        <v>1857</v>
      </c>
      <c r="B552" s="166" t="s">
        <v>1858</v>
      </c>
      <c r="C552" s="955" t="s">
        <v>144</v>
      </c>
      <c r="D552" s="955" t="s">
        <v>146</v>
      </c>
    </row>
    <row r="553" spans="1:4">
      <c r="A553" s="167" t="s">
        <v>1859</v>
      </c>
      <c r="B553" s="166" t="s">
        <v>1860</v>
      </c>
      <c r="C553" s="955" t="s">
        <v>144</v>
      </c>
      <c r="D553" s="955" t="s">
        <v>146</v>
      </c>
    </row>
    <row r="554" spans="1:4">
      <c r="A554" s="167" t="s">
        <v>1741</v>
      </c>
      <c r="B554" s="166" t="s">
        <v>1742</v>
      </c>
      <c r="C554" s="955" t="s">
        <v>144</v>
      </c>
      <c r="D554" s="955" t="s">
        <v>146</v>
      </c>
    </row>
    <row r="555" spans="1:4">
      <c r="A555" s="167" t="s">
        <v>1741</v>
      </c>
      <c r="B555" s="166" t="s">
        <v>1742</v>
      </c>
      <c r="C555" s="955" t="s">
        <v>144</v>
      </c>
      <c r="D555" s="955" t="s">
        <v>146</v>
      </c>
    </row>
    <row r="556" spans="1:4">
      <c r="A556" s="167" t="s">
        <v>1743</v>
      </c>
      <c r="B556" s="166" t="s">
        <v>1744</v>
      </c>
      <c r="C556" s="955" t="s">
        <v>144</v>
      </c>
      <c r="D556" s="955" t="s">
        <v>146</v>
      </c>
    </row>
    <row r="557" spans="1:4">
      <c r="A557" s="167" t="s">
        <v>1743</v>
      </c>
      <c r="B557" s="166" t="s">
        <v>1744</v>
      </c>
      <c r="C557" s="955" t="s">
        <v>144</v>
      </c>
      <c r="D557" s="955" t="s">
        <v>146</v>
      </c>
    </row>
    <row r="558" spans="1:4">
      <c r="A558" s="167" t="s">
        <v>1871</v>
      </c>
      <c r="B558" s="166" t="s">
        <v>1872</v>
      </c>
      <c r="C558" s="955" t="s">
        <v>144</v>
      </c>
      <c r="D558" s="955" t="s">
        <v>146</v>
      </c>
    </row>
    <row r="559" spans="1:4">
      <c r="A559" s="167" t="s">
        <v>1833</v>
      </c>
      <c r="B559" s="166" t="s">
        <v>1834</v>
      </c>
      <c r="C559" s="955" t="s">
        <v>144</v>
      </c>
      <c r="D559" s="955" t="s">
        <v>181</v>
      </c>
    </row>
    <row r="560" spans="1:4">
      <c r="A560" s="167" t="s">
        <v>1835</v>
      </c>
      <c r="B560" s="166" t="s">
        <v>1836</v>
      </c>
      <c r="C560" s="955" t="s">
        <v>144</v>
      </c>
      <c r="D560" s="955" t="s">
        <v>146</v>
      </c>
    </row>
    <row r="561" spans="1:4">
      <c r="A561" s="167" t="s">
        <v>1839</v>
      </c>
      <c r="B561" s="166" t="s">
        <v>1840</v>
      </c>
      <c r="C561" s="955" t="s">
        <v>144</v>
      </c>
      <c r="D561" s="955" t="s">
        <v>181</v>
      </c>
    </row>
    <row r="562" spans="1:4">
      <c r="A562" s="167" t="s">
        <v>1841</v>
      </c>
      <c r="B562" s="166" t="s">
        <v>1842</v>
      </c>
      <c r="C562" s="955" t="s">
        <v>144</v>
      </c>
      <c r="D562" s="955" t="s">
        <v>146</v>
      </c>
    </row>
    <row r="563" spans="1:4">
      <c r="A563" s="167" t="s">
        <v>1851</v>
      </c>
      <c r="B563" s="166" t="s">
        <v>1852</v>
      </c>
      <c r="C563" s="955" t="s">
        <v>144</v>
      </c>
      <c r="D563" s="955" t="s">
        <v>181</v>
      </c>
    </row>
    <row r="564" spans="1:4">
      <c r="A564" s="167" t="s">
        <v>1853</v>
      </c>
      <c r="B564" s="166" t="s">
        <v>1854</v>
      </c>
      <c r="C564" s="955" t="s">
        <v>144</v>
      </c>
      <c r="D564" s="955" t="s">
        <v>146</v>
      </c>
    </row>
    <row r="565" spans="1:4">
      <c r="A565" s="167" t="s">
        <v>1821</v>
      </c>
      <c r="B565" s="166" t="s">
        <v>1822</v>
      </c>
      <c r="C565" s="955" t="s">
        <v>144</v>
      </c>
      <c r="D565" s="955" t="s">
        <v>146</v>
      </c>
    </row>
    <row r="566" spans="1:4">
      <c r="A566" s="167" t="s">
        <v>1823</v>
      </c>
      <c r="B566" s="166" t="s">
        <v>1824</v>
      </c>
      <c r="C566" s="955" t="s">
        <v>144</v>
      </c>
      <c r="D566" s="955" t="s">
        <v>146</v>
      </c>
    </row>
    <row r="567" spans="1:4">
      <c r="A567" s="167" t="s">
        <v>1745</v>
      </c>
      <c r="B567" s="166" t="s">
        <v>1746</v>
      </c>
      <c r="C567" s="955" t="s">
        <v>144</v>
      </c>
      <c r="D567" s="955" t="s">
        <v>181</v>
      </c>
    </row>
    <row r="568" spans="1:4">
      <c r="A568" s="166" t="s">
        <v>1745</v>
      </c>
      <c r="B568" s="166" t="s">
        <v>1746</v>
      </c>
      <c r="C568" s="955" t="s">
        <v>144</v>
      </c>
      <c r="D568" s="955" t="s">
        <v>181</v>
      </c>
    </row>
    <row r="569" spans="1:4">
      <c r="A569" s="166" t="s">
        <v>1863</v>
      </c>
      <c r="B569" s="166" t="s">
        <v>1864</v>
      </c>
      <c r="C569" s="955" t="s">
        <v>144</v>
      </c>
      <c r="D569" s="955" t="s">
        <v>146</v>
      </c>
    </row>
    <row r="570" spans="1:4">
      <c r="A570" s="167" t="s">
        <v>1471</v>
      </c>
      <c r="B570" s="166" t="s">
        <v>1470</v>
      </c>
      <c r="C570" s="955" t="s">
        <v>155</v>
      </c>
      <c r="D570" s="955" t="s">
        <v>159</v>
      </c>
    </row>
    <row r="571" spans="1:4">
      <c r="A571" s="167" t="s">
        <v>1243</v>
      </c>
      <c r="B571" s="166" t="s">
        <v>1242</v>
      </c>
      <c r="C571" s="955" t="s">
        <v>155</v>
      </c>
      <c r="D571" s="955" t="s">
        <v>163</v>
      </c>
    </row>
    <row r="572" spans="1:4">
      <c r="A572" s="167" t="s">
        <v>1477</v>
      </c>
      <c r="B572" s="166" t="s">
        <v>1476</v>
      </c>
      <c r="C572" s="955" t="s">
        <v>155</v>
      </c>
      <c r="D572" s="955" t="s">
        <v>161</v>
      </c>
    </row>
    <row r="573" spans="1:4">
      <c r="A573" s="167" t="s">
        <v>1473</v>
      </c>
      <c r="B573" s="556" t="s">
        <v>1472</v>
      </c>
      <c r="C573" s="955" t="s">
        <v>155</v>
      </c>
      <c r="D573" s="955" t="s">
        <v>162</v>
      </c>
    </row>
    <row r="574" spans="1:4">
      <c r="A574" s="167" t="s">
        <v>1397</v>
      </c>
      <c r="B574" s="166" t="s">
        <v>1396</v>
      </c>
      <c r="C574" s="955" t="s">
        <v>155</v>
      </c>
      <c r="D574" s="955" t="s">
        <v>164</v>
      </c>
    </row>
    <row r="575" spans="1:4">
      <c r="A575" s="167" t="s">
        <v>1174</v>
      </c>
      <c r="B575" s="166" t="s">
        <v>1173</v>
      </c>
      <c r="C575" s="955" t="s">
        <v>155</v>
      </c>
      <c r="D575" s="955" t="s">
        <v>161</v>
      </c>
    </row>
    <row r="576" spans="1:4">
      <c r="A576" s="167" t="s">
        <v>1875</v>
      </c>
      <c r="B576" s="166" t="s">
        <v>1876</v>
      </c>
      <c r="C576" s="955" t="s">
        <v>1646</v>
      </c>
      <c r="D576" s="955" t="s">
        <v>167</v>
      </c>
    </row>
    <row r="577" spans="1:4">
      <c r="A577" s="167" t="s">
        <v>1460</v>
      </c>
      <c r="B577" s="166" t="s">
        <v>1459</v>
      </c>
      <c r="C577" s="955" t="s">
        <v>175</v>
      </c>
      <c r="D577" s="955" t="s">
        <v>187</v>
      </c>
    </row>
    <row r="578" spans="1:4">
      <c r="A578" s="167" t="s">
        <v>1881</v>
      </c>
      <c r="B578" s="166" t="s">
        <v>1882</v>
      </c>
      <c r="C578" s="955" t="s">
        <v>155</v>
      </c>
      <c r="D578" s="955" t="s">
        <v>1700</v>
      </c>
    </row>
    <row r="579" spans="1:4">
      <c r="A579" s="167" t="s">
        <v>1384</v>
      </c>
      <c r="B579" s="166" t="s">
        <v>1383</v>
      </c>
      <c r="C579" s="955" t="s">
        <v>155</v>
      </c>
      <c r="D579" s="955" t="s">
        <v>167</v>
      </c>
    </row>
    <row r="580" spans="1:4">
      <c r="A580" s="167" t="s">
        <v>1167</v>
      </c>
      <c r="B580" s="166" t="s">
        <v>1166</v>
      </c>
      <c r="C580" s="955" t="s">
        <v>155</v>
      </c>
      <c r="D580" s="955" t="s">
        <v>167</v>
      </c>
    </row>
    <row r="581" spans="1:4">
      <c r="A581" s="167" t="s">
        <v>1468</v>
      </c>
      <c r="B581" s="166" t="s">
        <v>1467</v>
      </c>
      <c r="C581" s="955" t="s">
        <v>155</v>
      </c>
      <c r="D581" s="955" t="s">
        <v>167</v>
      </c>
    </row>
    <row r="582" spans="1:4">
      <c r="A582" s="167" t="s">
        <v>1411</v>
      </c>
      <c r="B582" s="166" t="s">
        <v>1410</v>
      </c>
      <c r="C582" s="955" t="s">
        <v>171</v>
      </c>
      <c r="D582" s="955" t="s">
        <v>172</v>
      </c>
    </row>
    <row r="583" spans="1:4">
      <c r="A583" s="167" t="s">
        <v>906</v>
      </c>
      <c r="B583" s="166" t="s">
        <v>905</v>
      </c>
      <c r="C583" s="955" t="s">
        <v>171</v>
      </c>
      <c r="D583" s="955" t="s">
        <v>172</v>
      </c>
    </row>
    <row r="584" spans="1:4">
      <c r="A584" s="167" t="s">
        <v>1263</v>
      </c>
      <c r="B584" s="166" t="s">
        <v>1262</v>
      </c>
      <c r="C584" s="955" t="s">
        <v>171</v>
      </c>
      <c r="D584" s="955" t="s">
        <v>172</v>
      </c>
    </row>
    <row r="585" spans="1:4">
      <c r="A585" s="167" t="s">
        <v>1540</v>
      </c>
      <c r="B585" s="166" t="s">
        <v>1419</v>
      </c>
      <c r="C585" s="955" t="s">
        <v>144</v>
      </c>
      <c r="D585" s="955" t="s">
        <v>146</v>
      </c>
    </row>
    <row r="586" spans="1:4">
      <c r="A586" s="167" t="s">
        <v>1791</v>
      </c>
      <c r="B586" s="166" t="s">
        <v>923</v>
      </c>
      <c r="C586" s="955" t="s">
        <v>144</v>
      </c>
      <c r="D586" s="955" t="s">
        <v>146</v>
      </c>
    </row>
    <row r="587" spans="1:4">
      <c r="A587" s="167" t="s">
        <v>1546</v>
      </c>
      <c r="B587" s="166" t="s">
        <v>1446</v>
      </c>
      <c r="C587" s="955" t="s">
        <v>144</v>
      </c>
      <c r="D587" s="955" t="s">
        <v>146</v>
      </c>
    </row>
    <row r="588" spans="1:4">
      <c r="A588" s="167" t="s">
        <v>1794</v>
      </c>
      <c r="B588" s="166" t="s">
        <v>1795</v>
      </c>
      <c r="C588" s="955" t="s">
        <v>144</v>
      </c>
      <c r="D588" s="955" t="s">
        <v>146</v>
      </c>
    </row>
    <row r="589" spans="1:4">
      <c r="A589" s="167" t="s">
        <v>908</v>
      </c>
      <c r="B589" s="166" t="s">
        <v>907</v>
      </c>
      <c r="C589" s="955" t="s">
        <v>144</v>
      </c>
      <c r="D589" s="955" t="s">
        <v>146</v>
      </c>
    </row>
    <row r="590" spans="1:4">
      <c r="A590" s="167" t="s">
        <v>1519</v>
      </c>
      <c r="B590" s="166" t="s">
        <v>1313</v>
      </c>
      <c r="C590" s="955" t="s">
        <v>144</v>
      </c>
      <c r="D590" s="955" t="s">
        <v>146</v>
      </c>
    </row>
    <row r="591" spans="1:4">
      <c r="A591" s="167" t="s">
        <v>1541</v>
      </c>
      <c r="B591" s="166" t="s">
        <v>1421</v>
      </c>
      <c r="C591" s="955" t="s">
        <v>144</v>
      </c>
      <c r="D591" s="955" t="s">
        <v>146</v>
      </c>
    </row>
    <row r="592" spans="1:4">
      <c r="A592" s="167" t="s">
        <v>1562</v>
      </c>
      <c r="B592" s="166" t="s">
        <v>1486</v>
      </c>
      <c r="C592" s="955" t="s">
        <v>144</v>
      </c>
      <c r="D592" s="955" t="s">
        <v>146</v>
      </c>
    </row>
    <row r="593" spans="1:4">
      <c r="A593" s="167" t="s">
        <v>1799</v>
      </c>
      <c r="B593" s="166" t="s">
        <v>1800</v>
      </c>
      <c r="C593" s="955" t="s">
        <v>144</v>
      </c>
      <c r="D593" s="955" t="s">
        <v>146</v>
      </c>
    </row>
    <row r="594" spans="1:4">
      <c r="A594" s="167" t="s">
        <v>1482</v>
      </c>
      <c r="B594" s="166" t="s">
        <v>1322</v>
      </c>
      <c r="C594" s="955" t="s">
        <v>144</v>
      </c>
      <c r="D594" s="955" t="s">
        <v>146</v>
      </c>
    </row>
    <row r="595" spans="1:4">
      <c r="A595" s="167" t="s">
        <v>910</v>
      </c>
      <c r="B595" s="166" t="s">
        <v>909</v>
      </c>
      <c r="C595" s="955" t="s">
        <v>144</v>
      </c>
      <c r="D595" s="955" t="s">
        <v>146</v>
      </c>
    </row>
    <row r="596" spans="1:4">
      <c r="A596" s="167" t="s">
        <v>1804</v>
      </c>
      <c r="B596" s="166" t="s">
        <v>1805</v>
      </c>
      <c r="C596" s="955" t="s">
        <v>144</v>
      </c>
      <c r="D596" s="955" t="s">
        <v>146</v>
      </c>
    </row>
    <row r="597" spans="1:4">
      <c r="A597" s="167" t="s">
        <v>1809</v>
      </c>
      <c r="B597" s="166" t="s">
        <v>1810</v>
      </c>
      <c r="C597" s="955" t="s">
        <v>144</v>
      </c>
      <c r="D597" s="955" t="s">
        <v>146</v>
      </c>
    </row>
    <row r="598" spans="1:4">
      <c r="A598" s="167" t="s">
        <v>912</v>
      </c>
      <c r="B598" s="166" t="s">
        <v>911</v>
      </c>
      <c r="C598" s="955" t="s">
        <v>144</v>
      </c>
      <c r="D598" s="955" t="s">
        <v>146</v>
      </c>
    </row>
    <row r="599" spans="1:4">
      <c r="A599" s="167" t="s">
        <v>1814</v>
      </c>
      <c r="B599" s="166" t="s">
        <v>1815</v>
      </c>
      <c r="C599" s="955" t="s">
        <v>144</v>
      </c>
      <c r="D599" s="955" t="s">
        <v>146</v>
      </c>
    </row>
    <row r="600" spans="1:4">
      <c r="A600" s="167" t="s">
        <v>1817</v>
      </c>
      <c r="B600" s="166" t="s">
        <v>1818</v>
      </c>
      <c r="C600" s="955" t="s">
        <v>144</v>
      </c>
      <c r="D600" s="955" t="s">
        <v>146</v>
      </c>
    </row>
    <row r="601" spans="1:4">
      <c r="A601" s="167" t="s">
        <v>914</v>
      </c>
      <c r="B601" s="961" t="s">
        <v>913</v>
      </c>
      <c r="C601" s="955" t="s">
        <v>144</v>
      </c>
      <c r="D601" s="955" t="s">
        <v>147</v>
      </c>
    </row>
    <row r="602" spans="1:4">
      <c r="A602" s="167" t="s">
        <v>1749</v>
      </c>
      <c r="B602" s="961" t="s">
        <v>1750</v>
      </c>
      <c r="C602" s="955" t="s">
        <v>144</v>
      </c>
      <c r="D602" s="955" t="s">
        <v>147</v>
      </c>
    </row>
    <row r="603" spans="1:4">
      <c r="A603" s="167" t="s">
        <v>916</v>
      </c>
      <c r="B603" s="166" t="s">
        <v>915</v>
      </c>
      <c r="C603" s="955" t="s">
        <v>144</v>
      </c>
      <c r="D603" s="955" t="s">
        <v>147</v>
      </c>
    </row>
    <row r="604" spans="1:4">
      <c r="A604" s="167" t="s">
        <v>1753</v>
      </c>
      <c r="B604" s="166" t="s">
        <v>1754</v>
      </c>
      <c r="C604" s="955" t="s">
        <v>144</v>
      </c>
      <c r="D604" s="955" t="s">
        <v>147</v>
      </c>
    </row>
    <row r="605" spans="1:4">
      <c r="A605" s="167" t="s">
        <v>1757</v>
      </c>
      <c r="B605" s="166" t="s">
        <v>1758</v>
      </c>
      <c r="C605" s="955" t="s">
        <v>144</v>
      </c>
      <c r="D605" s="955" t="s">
        <v>147</v>
      </c>
    </row>
    <row r="606" spans="1:4">
      <c r="A606" s="167" t="s">
        <v>1761</v>
      </c>
      <c r="B606" s="166" t="s">
        <v>1762</v>
      </c>
      <c r="C606" s="955" t="s">
        <v>144</v>
      </c>
      <c r="D606" s="955" t="s">
        <v>147</v>
      </c>
    </row>
    <row r="607" spans="1:4">
      <c r="A607" s="167" t="s">
        <v>1765</v>
      </c>
      <c r="B607" s="166" t="s">
        <v>1766</v>
      </c>
      <c r="C607" s="955" t="s">
        <v>144</v>
      </c>
      <c r="D607" s="955" t="s">
        <v>147</v>
      </c>
    </row>
    <row r="608" spans="1:4">
      <c r="A608" s="167" t="s">
        <v>1454</v>
      </c>
      <c r="B608" s="166" t="s">
        <v>1320</v>
      </c>
      <c r="C608" s="955" t="s">
        <v>144</v>
      </c>
      <c r="D608" s="955" t="s">
        <v>147</v>
      </c>
    </row>
    <row r="609" spans="1:4">
      <c r="A609" s="167" t="s">
        <v>1773</v>
      </c>
      <c r="B609" s="166" t="s">
        <v>1774</v>
      </c>
      <c r="C609" s="955" t="s">
        <v>144</v>
      </c>
      <c r="D609" s="955" t="s">
        <v>147</v>
      </c>
    </row>
    <row r="610" spans="1:4">
      <c r="A610" s="167" t="s">
        <v>1777</v>
      </c>
      <c r="B610" s="166" t="s">
        <v>1778</v>
      </c>
      <c r="C610" s="955" t="s">
        <v>144</v>
      </c>
      <c r="D610" s="955" t="s">
        <v>147</v>
      </c>
    </row>
    <row r="611" spans="1:4">
      <c r="A611" s="167" t="s">
        <v>1153</v>
      </c>
      <c r="B611" s="166" t="s">
        <v>928</v>
      </c>
      <c r="C611" s="955" t="s">
        <v>144</v>
      </c>
      <c r="D611" s="955" t="s">
        <v>147</v>
      </c>
    </row>
    <row r="612" spans="1:4">
      <c r="A612" s="167" t="s">
        <v>1785</v>
      </c>
      <c r="B612" s="166" t="s">
        <v>1786</v>
      </c>
      <c r="C612" s="955" t="s">
        <v>144</v>
      </c>
      <c r="D612" s="955" t="s">
        <v>147</v>
      </c>
    </row>
    <row r="613" spans="1:4">
      <c r="A613" s="167" t="s">
        <v>1787</v>
      </c>
      <c r="B613" s="166" t="s">
        <v>1788</v>
      </c>
      <c r="C613" s="955" t="s">
        <v>144</v>
      </c>
      <c r="D613" s="955" t="s">
        <v>147</v>
      </c>
    </row>
    <row r="614" spans="1:4">
      <c r="A614" s="167" t="s">
        <v>1555</v>
      </c>
      <c r="B614" s="166" t="s">
        <v>1554</v>
      </c>
      <c r="C614" s="955" t="s">
        <v>144</v>
      </c>
      <c r="D614" s="955" t="s">
        <v>146</v>
      </c>
    </row>
    <row r="615" spans="1:4">
      <c r="A615" s="167" t="s">
        <v>918</v>
      </c>
      <c r="B615" s="166" t="s">
        <v>917</v>
      </c>
      <c r="C615" s="955" t="s">
        <v>144</v>
      </c>
      <c r="D615" s="955" t="s">
        <v>146</v>
      </c>
    </row>
    <row r="616" spans="1:4">
      <c r="A616" s="168" t="s">
        <v>1518</v>
      </c>
      <c r="B616" s="169" t="s">
        <v>1223</v>
      </c>
      <c r="C616" s="955" t="s">
        <v>144</v>
      </c>
      <c r="D616" s="955" t="s">
        <v>147</v>
      </c>
    </row>
    <row r="617" spans="1:4">
      <c r="A617" s="167" t="s">
        <v>1517</v>
      </c>
      <c r="B617" s="166" t="s">
        <v>1516</v>
      </c>
      <c r="C617" s="955" t="s">
        <v>175</v>
      </c>
      <c r="D617" s="955" t="s">
        <v>177</v>
      </c>
    </row>
    <row r="618" spans="1:4">
      <c r="A618" s="169" t="s">
        <v>1228</v>
      </c>
      <c r="B618" s="169" t="s">
        <v>1147</v>
      </c>
      <c r="C618" s="955"/>
      <c r="D618" s="955"/>
    </row>
    <row r="619" spans="1:4">
      <c r="A619" s="166" t="s">
        <v>1543</v>
      </c>
      <c r="B619" s="166" t="s">
        <v>1542</v>
      </c>
      <c r="C619" s="955" t="s">
        <v>175</v>
      </c>
      <c r="D619" s="955" t="s">
        <v>179</v>
      </c>
    </row>
    <row r="620" spans="1:4">
      <c r="A620" s="168" t="s">
        <v>1148</v>
      </c>
      <c r="B620" s="169" t="s">
        <v>1147</v>
      </c>
      <c r="C620" s="955"/>
      <c r="D620" s="955"/>
    </row>
    <row r="621" spans="1:4">
      <c r="A621" s="166" t="s">
        <v>1514</v>
      </c>
      <c r="B621" s="166" t="s">
        <v>1513</v>
      </c>
      <c r="C621" s="955" t="s">
        <v>175</v>
      </c>
      <c r="D621" s="955" t="s">
        <v>180</v>
      </c>
    </row>
    <row r="622" spans="1:4">
      <c r="A622" s="168" t="s">
        <v>1222</v>
      </c>
      <c r="B622" s="169" t="s">
        <v>1147</v>
      </c>
      <c r="C622" s="955"/>
      <c r="D622" s="955"/>
    </row>
    <row r="623" spans="1:4">
      <c r="A623" s="166" t="s">
        <v>1163</v>
      </c>
      <c r="B623" s="166" t="s">
        <v>1162</v>
      </c>
      <c r="C623" s="955" t="s">
        <v>175</v>
      </c>
      <c r="D623" s="955" t="s">
        <v>179</v>
      </c>
    </row>
    <row r="624" spans="1:4">
      <c r="A624" s="167" t="s">
        <v>1355</v>
      </c>
      <c r="B624" s="166" t="s">
        <v>1354</v>
      </c>
      <c r="C624" s="955" t="s">
        <v>175</v>
      </c>
      <c r="D624" s="955" t="s">
        <v>177</v>
      </c>
    </row>
    <row r="625" spans="1:4">
      <c r="A625" s="167" t="s">
        <v>1378</v>
      </c>
      <c r="B625" s="166" t="s">
        <v>1377</v>
      </c>
      <c r="C625" s="955" t="s">
        <v>175</v>
      </c>
      <c r="D625" s="955" t="s">
        <v>189</v>
      </c>
    </row>
    <row r="626" spans="1:4">
      <c r="A626" s="167" t="s">
        <v>1883</v>
      </c>
      <c r="B626" s="166" t="s">
        <v>1876</v>
      </c>
      <c r="C626" s="955" t="s">
        <v>155</v>
      </c>
      <c r="D626" s="955" t="s">
        <v>1700</v>
      </c>
    </row>
    <row r="627" spans="1:4">
      <c r="A627" s="166" t="s">
        <v>1364</v>
      </c>
      <c r="B627" s="166" t="s">
        <v>1363</v>
      </c>
      <c r="C627" s="955" t="s">
        <v>175</v>
      </c>
      <c r="D627" s="955" t="s">
        <v>178</v>
      </c>
    </row>
    <row r="628" spans="1:4">
      <c r="A628" s="166" t="s">
        <v>920</v>
      </c>
      <c r="B628" s="166" t="s">
        <v>919</v>
      </c>
      <c r="C628" s="955" t="s">
        <v>175</v>
      </c>
      <c r="D628" s="955" t="s">
        <v>178</v>
      </c>
    </row>
    <row r="629" spans="1:4">
      <c r="A629" s="167" t="s">
        <v>1215</v>
      </c>
      <c r="B629" s="166" t="s">
        <v>1214</v>
      </c>
      <c r="C629" s="955" t="s">
        <v>175</v>
      </c>
      <c r="D629" s="955" t="s">
        <v>178</v>
      </c>
    </row>
    <row r="630" spans="1:4">
      <c r="A630" s="167" t="s">
        <v>1435</v>
      </c>
      <c r="B630" s="166" t="s">
        <v>1434</v>
      </c>
      <c r="C630" s="955" t="s">
        <v>175</v>
      </c>
      <c r="D630" s="955" t="s">
        <v>181</v>
      </c>
    </row>
    <row r="631" spans="1:4">
      <c r="A631" s="167" t="s">
        <v>1194</v>
      </c>
      <c r="B631" s="166" t="s">
        <v>1193</v>
      </c>
      <c r="C631" s="955" t="s">
        <v>175</v>
      </c>
      <c r="D631" s="955" t="s">
        <v>181</v>
      </c>
    </row>
    <row r="632" spans="1:4">
      <c r="A632" s="167" t="s">
        <v>1504</v>
      </c>
      <c r="B632" s="166" t="s">
        <v>1503</v>
      </c>
      <c r="C632" s="955" t="s">
        <v>175</v>
      </c>
      <c r="D632" s="955" t="s">
        <v>1922</v>
      </c>
    </row>
    <row r="633" spans="1:4">
      <c r="A633" s="167" t="s">
        <v>1491</v>
      </c>
      <c r="B633" s="166" t="s">
        <v>1490</v>
      </c>
      <c r="C633" s="955" t="s">
        <v>175</v>
      </c>
      <c r="D633" s="955" t="s">
        <v>186</v>
      </c>
    </row>
    <row r="634" spans="1:4">
      <c r="A634" s="167" t="s">
        <v>922</v>
      </c>
      <c r="B634" s="166" t="s">
        <v>921</v>
      </c>
      <c r="C634" s="955" t="s">
        <v>1646</v>
      </c>
      <c r="D634" s="955" t="s">
        <v>178</v>
      </c>
    </row>
    <row r="635" spans="1:4">
      <c r="A635" s="167" t="s">
        <v>423</v>
      </c>
      <c r="B635" s="166" t="s">
        <v>422</v>
      </c>
      <c r="C635" s="955" t="s">
        <v>175</v>
      </c>
      <c r="D635" s="955" t="s">
        <v>183</v>
      </c>
    </row>
    <row r="636" spans="1:4">
      <c r="A636" s="167" t="s">
        <v>1420</v>
      </c>
      <c r="B636" s="166" t="s">
        <v>1419</v>
      </c>
      <c r="C636" s="955" t="s">
        <v>144</v>
      </c>
      <c r="D636" s="955" t="s">
        <v>146</v>
      </c>
    </row>
    <row r="637" spans="1:4">
      <c r="A637" s="167" t="s">
        <v>924</v>
      </c>
      <c r="B637" s="166" t="s">
        <v>923</v>
      </c>
      <c r="C637" s="955" t="s">
        <v>144</v>
      </c>
      <c r="D637" s="955" t="s">
        <v>146</v>
      </c>
    </row>
    <row r="638" spans="1:4">
      <c r="A638" s="167" t="s">
        <v>1447</v>
      </c>
      <c r="B638" s="166" t="s">
        <v>1446</v>
      </c>
      <c r="C638" s="955" t="s">
        <v>144</v>
      </c>
      <c r="D638" s="955" t="s">
        <v>146</v>
      </c>
    </row>
    <row r="639" spans="1:4">
      <c r="A639" s="167" t="s">
        <v>1796</v>
      </c>
      <c r="B639" s="166" t="s">
        <v>1795</v>
      </c>
      <c r="C639" s="955" t="s">
        <v>144</v>
      </c>
      <c r="D639" s="955" t="s">
        <v>146</v>
      </c>
    </row>
    <row r="640" spans="1:4">
      <c r="A640" s="176" t="s">
        <v>925</v>
      </c>
      <c r="B640" s="556" t="s">
        <v>907</v>
      </c>
      <c r="C640" s="955" t="s">
        <v>144</v>
      </c>
      <c r="D640" s="955" t="s">
        <v>146</v>
      </c>
    </row>
    <row r="641" spans="1:4">
      <c r="A641" s="167" t="s">
        <v>1314</v>
      </c>
      <c r="B641" s="166" t="s">
        <v>1313</v>
      </c>
      <c r="C641" s="955" t="s">
        <v>144</v>
      </c>
      <c r="D641" s="955" t="s">
        <v>146</v>
      </c>
    </row>
    <row r="642" spans="1:4">
      <c r="A642" s="167" t="s">
        <v>1422</v>
      </c>
      <c r="B642" s="166" t="s">
        <v>1421</v>
      </c>
      <c r="C642" s="955" t="s">
        <v>144</v>
      </c>
      <c r="D642" s="955" t="s">
        <v>146</v>
      </c>
    </row>
    <row r="643" spans="1:4">
      <c r="A643" s="167" t="s">
        <v>1487</v>
      </c>
      <c r="B643" s="166" t="s">
        <v>1486</v>
      </c>
      <c r="C643" s="955" t="s">
        <v>144</v>
      </c>
      <c r="D643" s="955" t="s">
        <v>146</v>
      </c>
    </row>
    <row r="644" spans="1:4">
      <c r="A644" s="167" t="s">
        <v>1801</v>
      </c>
      <c r="B644" s="166" t="s">
        <v>1800</v>
      </c>
      <c r="C644" s="955" t="s">
        <v>144</v>
      </c>
      <c r="D644" s="955" t="s">
        <v>146</v>
      </c>
    </row>
    <row r="645" spans="1:4">
      <c r="A645" s="167" t="s">
        <v>1323</v>
      </c>
      <c r="B645" s="166" t="s">
        <v>1322</v>
      </c>
      <c r="C645" s="955" t="s">
        <v>144</v>
      </c>
      <c r="D645" s="955" t="s">
        <v>146</v>
      </c>
    </row>
    <row r="646" spans="1:4">
      <c r="A646" s="167" t="s">
        <v>926</v>
      </c>
      <c r="B646" s="166" t="s">
        <v>909</v>
      </c>
      <c r="C646" s="955" t="s">
        <v>144</v>
      </c>
      <c r="D646" s="955" t="s">
        <v>146</v>
      </c>
    </row>
    <row r="647" spans="1:4">
      <c r="A647" s="167" t="s">
        <v>1806</v>
      </c>
      <c r="B647" s="166" t="s">
        <v>1805</v>
      </c>
      <c r="C647" s="955" t="s">
        <v>144</v>
      </c>
      <c r="D647" s="955" t="s">
        <v>146</v>
      </c>
    </row>
    <row r="648" spans="1:4">
      <c r="A648" s="167" t="s">
        <v>1811</v>
      </c>
      <c r="B648" s="166" t="s">
        <v>1810</v>
      </c>
      <c r="C648" s="955" t="s">
        <v>144</v>
      </c>
      <c r="D648" s="955" t="s">
        <v>146</v>
      </c>
    </row>
    <row r="649" spans="1:4">
      <c r="A649" s="167" t="s">
        <v>927</v>
      </c>
      <c r="B649" s="166" t="s">
        <v>911</v>
      </c>
      <c r="C649" s="955" t="s">
        <v>144</v>
      </c>
      <c r="D649" s="955" t="s">
        <v>146</v>
      </c>
    </row>
    <row r="650" spans="1:4">
      <c r="A650" s="176" t="s">
        <v>1816</v>
      </c>
      <c r="B650" s="571" t="s">
        <v>1815</v>
      </c>
      <c r="C650" s="955" t="s">
        <v>144</v>
      </c>
      <c r="D650" s="955" t="s">
        <v>146</v>
      </c>
    </row>
    <row r="651" spans="1:4">
      <c r="A651" s="167" t="s">
        <v>1321</v>
      </c>
      <c r="B651" s="171" t="s">
        <v>1320</v>
      </c>
      <c r="C651" s="955" t="s">
        <v>144</v>
      </c>
      <c r="D651" s="955" t="s">
        <v>147</v>
      </c>
    </row>
    <row r="652" spans="1:4">
      <c r="A652" s="167" t="s">
        <v>1769</v>
      </c>
      <c r="B652" s="166" t="s">
        <v>1770</v>
      </c>
      <c r="C652" s="955" t="s">
        <v>144</v>
      </c>
      <c r="D652" s="955" t="s">
        <v>147</v>
      </c>
    </row>
    <row r="653" spans="1:4">
      <c r="A653" s="167" t="s">
        <v>1782</v>
      </c>
      <c r="B653" s="166" t="s">
        <v>1781</v>
      </c>
      <c r="C653" s="955" t="s">
        <v>144</v>
      </c>
      <c r="D653" s="955" t="s">
        <v>147</v>
      </c>
    </row>
    <row r="654" spans="1:4">
      <c r="A654" s="167" t="s">
        <v>1493</v>
      </c>
      <c r="B654" s="166" t="s">
        <v>1492</v>
      </c>
      <c r="C654" s="955" t="s">
        <v>144</v>
      </c>
      <c r="D654" s="955" t="s">
        <v>146</v>
      </c>
    </row>
    <row r="655" spans="1:4">
      <c r="A655" s="167" t="s">
        <v>929</v>
      </c>
      <c r="B655" s="166" t="s">
        <v>917</v>
      </c>
      <c r="C655" s="955" t="s">
        <v>144</v>
      </c>
      <c r="D655" s="955" t="s">
        <v>146</v>
      </c>
    </row>
    <row r="656" spans="1:4">
      <c r="A656" s="167" t="s">
        <v>931</v>
      </c>
      <c r="B656" s="166" t="s">
        <v>930</v>
      </c>
      <c r="C656" s="955" t="s">
        <v>144</v>
      </c>
      <c r="D656" s="955" t="s">
        <v>147</v>
      </c>
    </row>
    <row r="657" spans="1:4">
      <c r="A657" s="168" t="s">
        <v>1224</v>
      </c>
      <c r="B657" s="169" t="s">
        <v>1223</v>
      </c>
      <c r="C657" s="955" t="s">
        <v>144</v>
      </c>
      <c r="D657" s="955" t="s">
        <v>147</v>
      </c>
    </row>
    <row r="658" spans="1:4">
      <c r="A658" s="167" t="s">
        <v>1485</v>
      </c>
      <c r="B658" s="166" t="s">
        <v>1523</v>
      </c>
      <c r="C658" s="955" t="s">
        <v>75</v>
      </c>
      <c r="D658" s="955" t="s">
        <v>103</v>
      </c>
    </row>
    <row r="659" spans="1:4">
      <c r="A659" s="167" t="s">
        <v>1444</v>
      </c>
      <c r="B659" s="166" t="s">
        <v>1442</v>
      </c>
      <c r="C659" s="955" t="s">
        <v>75</v>
      </c>
      <c r="D659" s="955" t="s">
        <v>104</v>
      </c>
    </row>
    <row r="660" spans="1:4">
      <c r="A660" s="167" t="s">
        <v>400</v>
      </c>
      <c r="B660" s="166" t="s">
        <v>399</v>
      </c>
      <c r="C660" s="955" t="s">
        <v>75</v>
      </c>
      <c r="D660" s="955" t="s">
        <v>106</v>
      </c>
    </row>
    <row r="661" spans="1:4">
      <c r="A661" s="167" t="s">
        <v>1436</v>
      </c>
      <c r="B661" s="166" t="s">
        <v>1360</v>
      </c>
      <c r="C661" s="955" t="s">
        <v>75</v>
      </c>
      <c r="D661" s="955" t="s">
        <v>107</v>
      </c>
    </row>
    <row r="662" spans="1:4">
      <c r="A662" s="167" t="s">
        <v>940</v>
      </c>
      <c r="B662" s="166" t="s">
        <v>938</v>
      </c>
      <c r="C662" s="955" t="s">
        <v>75</v>
      </c>
      <c r="D662" s="955" t="s">
        <v>109</v>
      </c>
    </row>
    <row r="663" spans="1:4">
      <c r="A663" s="167" t="s">
        <v>1409</v>
      </c>
      <c r="B663" s="166" t="s">
        <v>1407</v>
      </c>
      <c r="C663" s="955" t="s">
        <v>75</v>
      </c>
      <c r="D663" s="955" t="s">
        <v>105</v>
      </c>
    </row>
    <row r="664" spans="1:4">
      <c r="A664" s="167" t="s">
        <v>1376</v>
      </c>
      <c r="B664" s="166" t="s">
        <v>1374</v>
      </c>
      <c r="C664" s="955" t="s">
        <v>75</v>
      </c>
      <c r="D664" s="955" t="s">
        <v>108</v>
      </c>
    </row>
    <row r="665" spans="1:4">
      <c r="A665" s="167" t="s">
        <v>444</v>
      </c>
      <c r="B665" s="166" t="s">
        <v>443</v>
      </c>
      <c r="C665" s="955" t="s">
        <v>75</v>
      </c>
      <c r="D665" s="955" t="s">
        <v>108</v>
      </c>
    </row>
    <row r="666" spans="1:4">
      <c r="A666" s="167" t="s">
        <v>1885</v>
      </c>
      <c r="B666" s="556" t="s">
        <v>1886</v>
      </c>
      <c r="C666" s="955" t="s">
        <v>75</v>
      </c>
      <c r="D666" s="955" t="s">
        <v>108</v>
      </c>
    </row>
    <row r="667" spans="1:4">
      <c r="A667" s="167" t="s">
        <v>1261</v>
      </c>
      <c r="B667" s="166" t="s">
        <v>1259</v>
      </c>
      <c r="C667" s="955" t="s">
        <v>75</v>
      </c>
      <c r="D667" s="955" t="s">
        <v>213</v>
      </c>
    </row>
    <row r="668" spans="1:4">
      <c r="A668" s="167" t="s">
        <v>1185</v>
      </c>
      <c r="B668" s="166" t="s">
        <v>1183</v>
      </c>
      <c r="C668" s="955" t="s">
        <v>75</v>
      </c>
      <c r="D668" s="955" t="s">
        <v>112</v>
      </c>
    </row>
    <row r="669" spans="1:4">
      <c r="A669" s="167" t="s">
        <v>1268</v>
      </c>
      <c r="B669" s="166" t="s">
        <v>1342</v>
      </c>
      <c r="C669" s="955" t="s">
        <v>75</v>
      </c>
      <c r="D669" s="955" t="s">
        <v>113</v>
      </c>
    </row>
    <row r="670" spans="1:4">
      <c r="A670" s="167" t="s">
        <v>1251</v>
      </c>
      <c r="B670" s="166" t="s">
        <v>1249</v>
      </c>
      <c r="C670" s="955" t="s">
        <v>75</v>
      </c>
      <c r="D670" s="955" t="s">
        <v>114</v>
      </c>
    </row>
    <row r="671" spans="1:4">
      <c r="A671" s="167" t="s">
        <v>1213</v>
      </c>
      <c r="B671" s="166" t="s">
        <v>1445</v>
      </c>
      <c r="C671" s="955" t="s">
        <v>75</v>
      </c>
      <c r="D671" s="955" t="s">
        <v>116</v>
      </c>
    </row>
    <row r="672" spans="1:4">
      <c r="A672" s="167" t="s">
        <v>1254</v>
      </c>
      <c r="B672" s="166" t="s">
        <v>1252</v>
      </c>
      <c r="C672" s="955" t="s">
        <v>75</v>
      </c>
      <c r="D672" s="955" t="s">
        <v>119</v>
      </c>
    </row>
    <row r="673" spans="1:4">
      <c r="A673" s="167" t="s">
        <v>1285</v>
      </c>
      <c r="B673" s="166" t="s">
        <v>1283</v>
      </c>
      <c r="C673" s="955" t="s">
        <v>75</v>
      </c>
      <c r="D673" s="955" t="s">
        <v>117</v>
      </c>
    </row>
    <row r="674" spans="1:4">
      <c r="A674" s="166" t="s">
        <v>1307</v>
      </c>
      <c r="B674" s="166" t="s">
        <v>1414</v>
      </c>
      <c r="C674" s="955" t="s">
        <v>75</v>
      </c>
      <c r="D674" s="955" t="s">
        <v>118</v>
      </c>
    </row>
    <row r="675" spans="1:4">
      <c r="A675" s="167" t="s">
        <v>1159</v>
      </c>
      <c r="B675" s="166" t="s">
        <v>1157</v>
      </c>
      <c r="C675" s="955" t="s">
        <v>75</v>
      </c>
      <c r="D675" s="955" t="s">
        <v>127</v>
      </c>
    </row>
    <row r="676" spans="1:4">
      <c r="A676" s="167" t="s">
        <v>933</v>
      </c>
      <c r="B676" s="166" t="s">
        <v>932</v>
      </c>
      <c r="C676" s="955" t="s">
        <v>155</v>
      </c>
      <c r="D676" s="955" t="s">
        <v>128</v>
      </c>
    </row>
    <row r="677" spans="1:4">
      <c r="A677" s="167" t="s">
        <v>935</v>
      </c>
      <c r="B677" s="166" t="s">
        <v>934</v>
      </c>
      <c r="C677" s="955" t="s">
        <v>75</v>
      </c>
      <c r="D677" s="955" t="s">
        <v>133</v>
      </c>
    </row>
    <row r="678" spans="1:4">
      <c r="A678" s="167" t="s">
        <v>1188</v>
      </c>
      <c r="B678" s="166" t="s">
        <v>1186</v>
      </c>
      <c r="C678" s="955" t="s">
        <v>75</v>
      </c>
      <c r="D678" s="955" t="s">
        <v>123</v>
      </c>
    </row>
    <row r="679" spans="1:4">
      <c r="A679" s="167" t="s">
        <v>1182</v>
      </c>
      <c r="B679" s="166" t="s">
        <v>1180</v>
      </c>
      <c r="C679" s="955" t="s">
        <v>75</v>
      </c>
      <c r="D679" s="955" t="s">
        <v>131</v>
      </c>
    </row>
    <row r="680" spans="1:4">
      <c r="A680" s="167" t="s">
        <v>1288</v>
      </c>
      <c r="B680" s="166" t="s">
        <v>1286</v>
      </c>
      <c r="C680" s="955" t="s">
        <v>75</v>
      </c>
      <c r="D680" s="955" t="s">
        <v>124</v>
      </c>
    </row>
    <row r="681" spans="1:4">
      <c r="A681" s="167" t="s">
        <v>1208</v>
      </c>
      <c r="B681" s="166" t="s">
        <v>1206</v>
      </c>
      <c r="C681" s="955" t="s">
        <v>75</v>
      </c>
      <c r="D681" s="955" t="s">
        <v>129</v>
      </c>
    </row>
    <row r="682" spans="1:4">
      <c r="A682" s="167" t="s">
        <v>1156</v>
      </c>
      <c r="B682" s="166" t="s">
        <v>1154</v>
      </c>
      <c r="C682" s="955" t="s">
        <v>75</v>
      </c>
      <c r="D682" s="955" t="s">
        <v>130</v>
      </c>
    </row>
    <row r="683" spans="1:4">
      <c r="A683" s="167" t="s">
        <v>1239</v>
      </c>
      <c r="B683" s="166" t="s">
        <v>1237</v>
      </c>
      <c r="C683" s="955" t="s">
        <v>75</v>
      </c>
      <c r="D683" s="955" t="s">
        <v>132</v>
      </c>
    </row>
    <row r="684" spans="1:4">
      <c r="A684" s="167" t="s">
        <v>1219</v>
      </c>
      <c r="B684" s="166" t="s">
        <v>1315</v>
      </c>
      <c r="C684" s="955" t="s">
        <v>75</v>
      </c>
      <c r="D684" s="955" t="s">
        <v>125</v>
      </c>
    </row>
    <row r="685" spans="1:4">
      <c r="A685" s="167" t="s">
        <v>1310</v>
      </c>
      <c r="B685" s="166" t="s">
        <v>1308</v>
      </c>
      <c r="C685" s="955" t="s">
        <v>75</v>
      </c>
      <c r="D685" s="955" t="s">
        <v>126</v>
      </c>
    </row>
    <row r="686" spans="1:4">
      <c r="A686" s="167" t="s">
        <v>1335</v>
      </c>
      <c r="B686" s="166" t="s">
        <v>1333</v>
      </c>
      <c r="C686" s="955" t="s">
        <v>1646</v>
      </c>
      <c r="D686" s="955" t="s">
        <v>260</v>
      </c>
    </row>
    <row r="687" spans="1:4">
      <c r="A687" s="167" t="s">
        <v>937</v>
      </c>
      <c r="B687" s="166" t="s">
        <v>936</v>
      </c>
      <c r="C687" s="955" t="s">
        <v>1646</v>
      </c>
      <c r="D687" s="955" t="s">
        <v>250</v>
      </c>
    </row>
    <row r="688" spans="1:4">
      <c r="A688" s="167" t="s">
        <v>1246</v>
      </c>
      <c r="B688" s="166" t="s">
        <v>1332</v>
      </c>
      <c r="C688" s="955" t="s">
        <v>1646</v>
      </c>
      <c r="D688" s="955" t="s">
        <v>244</v>
      </c>
    </row>
    <row r="689" spans="1:4">
      <c r="A689" s="167" t="s">
        <v>1400</v>
      </c>
      <c r="B689" s="166" t="s">
        <v>1469</v>
      </c>
      <c r="C689" s="955" t="s">
        <v>75</v>
      </c>
      <c r="D689" s="955" t="s">
        <v>235</v>
      </c>
    </row>
    <row r="690" spans="1:4">
      <c r="A690" s="167" t="s">
        <v>1257</v>
      </c>
      <c r="B690" s="166" t="s">
        <v>1366</v>
      </c>
      <c r="C690" s="955" t="s">
        <v>1646</v>
      </c>
      <c r="D690" s="955" t="s">
        <v>242</v>
      </c>
    </row>
    <row r="691" spans="1:4">
      <c r="A691" s="167" t="s">
        <v>1205</v>
      </c>
      <c r="B691" s="166" t="s">
        <v>1362</v>
      </c>
      <c r="C691" s="955" t="s">
        <v>1646</v>
      </c>
      <c r="D691" s="955" t="s">
        <v>237</v>
      </c>
    </row>
    <row r="692" spans="1:4">
      <c r="A692" s="167" t="s">
        <v>1887</v>
      </c>
      <c r="B692" s="166" t="s">
        <v>1888</v>
      </c>
      <c r="C692" s="955" t="s">
        <v>1646</v>
      </c>
      <c r="D692" s="955" t="s">
        <v>241</v>
      </c>
    </row>
    <row r="693" spans="1:4">
      <c r="A693" s="167" t="s">
        <v>1227</v>
      </c>
      <c r="B693" s="166" t="s">
        <v>1296</v>
      </c>
      <c r="C693" s="955" t="s">
        <v>1646</v>
      </c>
      <c r="D693" s="955" t="s">
        <v>239</v>
      </c>
    </row>
    <row r="694" spans="1:4">
      <c r="A694" s="167" t="s">
        <v>1273</v>
      </c>
      <c r="B694" s="166" t="s">
        <v>1395</v>
      </c>
      <c r="C694" s="955" t="s">
        <v>1646</v>
      </c>
      <c r="D694" s="955" t="s">
        <v>246</v>
      </c>
    </row>
    <row r="695" spans="1:4">
      <c r="A695" s="167" t="s">
        <v>1897</v>
      </c>
      <c r="B695" s="166" t="s">
        <v>1898</v>
      </c>
      <c r="C695" s="955" t="s">
        <v>1646</v>
      </c>
      <c r="D695" s="955" t="s">
        <v>252</v>
      </c>
    </row>
    <row r="696" spans="1:4">
      <c r="A696" s="167" t="s">
        <v>1484</v>
      </c>
      <c r="B696" s="166" t="s">
        <v>1483</v>
      </c>
      <c r="C696" s="955" t="s">
        <v>144</v>
      </c>
      <c r="D696" s="955" t="s">
        <v>103</v>
      </c>
    </row>
    <row r="697" spans="1:4">
      <c r="A697" s="167" t="s">
        <v>1443</v>
      </c>
      <c r="B697" s="166" t="s">
        <v>1442</v>
      </c>
      <c r="C697" s="955" t="s">
        <v>144</v>
      </c>
      <c r="D697" s="955" t="s">
        <v>104</v>
      </c>
    </row>
    <row r="698" spans="1:4">
      <c r="A698" s="167" t="s">
        <v>1231</v>
      </c>
      <c r="B698" s="166" t="s">
        <v>1230</v>
      </c>
      <c r="C698" s="955" t="s">
        <v>144</v>
      </c>
      <c r="D698" s="955" t="s">
        <v>106</v>
      </c>
    </row>
    <row r="699" spans="1:4">
      <c r="A699" s="167" t="s">
        <v>1361</v>
      </c>
      <c r="B699" s="166" t="s">
        <v>1360</v>
      </c>
      <c r="C699" s="955" t="s">
        <v>144</v>
      </c>
      <c r="D699" s="955" t="s">
        <v>107</v>
      </c>
    </row>
    <row r="700" spans="1:4">
      <c r="A700" s="167" t="s">
        <v>939</v>
      </c>
      <c r="B700" s="166" t="s">
        <v>938</v>
      </c>
      <c r="C700" s="955" t="s">
        <v>1646</v>
      </c>
      <c r="D700" s="955" t="s">
        <v>262</v>
      </c>
    </row>
    <row r="701" spans="1:4">
      <c r="A701" s="167" t="s">
        <v>1408</v>
      </c>
      <c r="B701" s="166" t="s">
        <v>1407</v>
      </c>
      <c r="C701" s="955" t="s">
        <v>144</v>
      </c>
      <c r="D701" s="955" t="s">
        <v>105</v>
      </c>
    </row>
    <row r="702" spans="1:4">
      <c r="A702" s="167" t="s">
        <v>1415</v>
      </c>
      <c r="B702" s="166" t="s">
        <v>1374</v>
      </c>
      <c r="C702" s="955" t="s">
        <v>144</v>
      </c>
      <c r="D702" s="955" t="s">
        <v>108</v>
      </c>
    </row>
    <row r="703" spans="1:4">
      <c r="A703" s="167" t="s">
        <v>491</v>
      </c>
      <c r="B703" s="166" t="s">
        <v>490</v>
      </c>
      <c r="C703" s="955" t="s">
        <v>144</v>
      </c>
      <c r="D703" s="955" t="s">
        <v>108</v>
      </c>
    </row>
    <row r="704" spans="1:4">
      <c r="A704" s="167" t="s">
        <v>1297</v>
      </c>
      <c r="B704" s="166" t="s">
        <v>1259</v>
      </c>
      <c r="C704" s="955" t="s">
        <v>144</v>
      </c>
      <c r="D704" s="955" t="s">
        <v>213</v>
      </c>
    </row>
    <row r="705" spans="1:4">
      <c r="A705" s="167" t="s">
        <v>1184</v>
      </c>
      <c r="B705" s="166" t="s">
        <v>1183</v>
      </c>
      <c r="C705" s="955" t="s">
        <v>144</v>
      </c>
      <c r="D705" s="955" t="s">
        <v>112</v>
      </c>
    </row>
    <row r="706" spans="1:4">
      <c r="A706" s="167" t="s">
        <v>1373</v>
      </c>
      <c r="B706" s="166" t="s">
        <v>1342</v>
      </c>
      <c r="C706" s="955" t="s">
        <v>144</v>
      </c>
      <c r="D706" s="955" t="s">
        <v>113</v>
      </c>
    </row>
    <row r="707" spans="1:4">
      <c r="A707" s="167" t="s">
        <v>1413</v>
      </c>
      <c r="B707" s="166" t="s">
        <v>1412</v>
      </c>
      <c r="C707" s="955" t="s">
        <v>144</v>
      </c>
      <c r="D707" s="955" t="s">
        <v>114</v>
      </c>
    </row>
    <row r="708" spans="1:4">
      <c r="A708" s="167" t="s">
        <v>1303</v>
      </c>
      <c r="B708" s="166" t="s">
        <v>1211</v>
      </c>
      <c r="C708" s="955" t="s">
        <v>144</v>
      </c>
      <c r="D708" s="955" t="s">
        <v>116</v>
      </c>
    </row>
    <row r="709" spans="1:4">
      <c r="A709" s="167" t="s">
        <v>1289</v>
      </c>
      <c r="B709" s="166" t="s">
        <v>1252</v>
      </c>
      <c r="C709" s="955" t="s">
        <v>144</v>
      </c>
      <c r="D709" s="955" t="s">
        <v>119</v>
      </c>
    </row>
    <row r="710" spans="1:4">
      <c r="A710" s="167" t="s">
        <v>1337</v>
      </c>
      <c r="B710" s="166" t="s">
        <v>1283</v>
      </c>
      <c r="C710" s="955" t="s">
        <v>144</v>
      </c>
      <c r="D710" s="955" t="s">
        <v>117</v>
      </c>
    </row>
    <row r="711" spans="1:4">
      <c r="A711" s="166" t="s">
        <v>1350</v>
      </c>
      <c r="B711" s="166" t="s">
        <v>1305</v>
      </c>
      <c r="C711" s="955" t="s">
        <v>144</v>
      </c>
      <c r="D711" s="955" t="s">
        <v>118</v>
      </c>
    </row>
    <row r="712" spans="1:4">
      <c r="A712" s="167" t="s">
        <v>1170</v>
      </c>
      <c r="B712" s="166" t="s">
        <v>1157</v>
      </c>
      <c r="C712" s="955" t="s">
        <v>144</v>
      </c>
      <c r="D712" s="955" t="s">
        <v>127</v>
      </c>
    </row>
    <row r="713" spans="1:4">
      <c r="A713" s="167" t="s">
        <v>941</v>
      </c>
      <c r="B713" s="166" t="s">
        <v>932</v>
      </c>
      <c r="C713" s="955" t="s">
        <v>155</v>
      </c>
      <c r="D713" s="955" t="s">
        <v>128</v>
      </c>
    </row>
    <row r="714" spans="1:4">
      <c r="A714" s="167" t="s">
        <v>942</v>
      </c>
      <c r="B714" s="166" t="s">
        <v>934</v>
      </c>
      <c r="C714" s="955" t="s">
        <v>144</v>
      </c>
      <c r="D714" s="955" t="s">
        <v>133</v>
      </c>
    </row>
    <row r="715" spans="1:4">
      <c r="A715" s="167" t="s">
        <v>1241</v>
      </c>
      <c r="B715" s="166" t="s">
        <v>1186</v>
      </c>
      <c r="C715" s="955" t="s">
        <v>144</v>
      </c>
      <c r="D715" s="955" t="s">
        <v>123</v>
      </c>
    </row>
    <row r="716" spans="1:4">
      <c r="A716" s="167" t="s">
        <v>1198</v>
      </c>
      <c r="B716" s="166" t="s">
        <v>1180</v>
      </c>
      <c r="C716" s="955" t="s">
        <v>144</v>
      </c>
      <c r="D716" s="955" t="s">
        <v>131</v>
      </c>
    </row>
    <row r="717" spans="1:4">
      <c r="A717" s="167" t="s">
        <v>1336</v>
      </c>
      <c r="B717" s="166" t="s">
        <v>1286</v>
      </c>
      <c r="C717" s="955" t="s">
        <v>144</v>
      </c>
      <c r="D717" s="955" t="s">
        <v>124</v>
      </c>
    </row>
    <row r="718" spans="1:4">
      <c r="A718" s="167" t="s">
        <v>1232</v>
      </c>
      <c r="B718" s="166" t="s">
        <v>1206</v>
      </c>
      <c r="C718" s="955" t="s">
        <v>144</v>
      </c>
      <c r="D718" s="955" t="s">
        <v>129</v>
      </c>
    </row>
    <row r="719" spans="1:4">
      <c r="A719" s="167" t="s">
        <v>1201</v>
      </c>
      <c r="B719" s="166" t="s">
        <v>1154</v>
      </c>
      <c r="C719" s="955" t="s">
        <v>144</v>
      </c>
      <c r="D719" s="955" t="s">
        <v>130</v>
      </c>
    </row>
    <row r="720" spans="1:4">
      <c r="A720" s="167" t="s">
        <v>1270</v>
      </c>
      <c r="B720" s="166" t="s">
        <v>1237</v>
      </c>
      <c r="C720" s="955" t="s">
        <v>1923</v>
      </c>
      <c r="D720" s="955" t="s">
        <v>132</v>
      </c>
    </row>
    <row r="721" spans="1:4">
      <c r="A721" s="167" t="s">
        <v>1248</v>
      </c>
      <c r="B721" s="166" t="s">
        <v>1247</v>
      </c>
      <c r="C721" s="955" t="s">
        <v>144</v>
      </c>
      <c r="D721" s="955" t="s">
        <v>125</v>
      </c>
    </row>
    <row r="722" spans="1:4">
      <c r="A722" s="167" t="s">
        <v>1359</v>
      </c>
      <c r="B722" s="166" t="s">
        <v>1308</v>
      </c>
      <c r="C722" s="955" t="s">
        <v>144</v>
      </c>
      <c r="D722" s="955" t="s">
        <v>126</v>
      </c>
    </row>
    <row r="723" spans="1:4">
      <c r="A723" s="167" t="s">
        <v>1456</v>
      </c>
      <c r="B723" s="166" t="s">
        <v>1333</v>
      </c>
      <c r="C723" s="955" t="s">
        <v>1646</v>
      </c>
      <c r="D723" s="955" t="s">
        <v>260</v>
      </c>
    </row>
    <row r="724" spans="1:4">
      <c r="A724" s="167" t="s">
        <v>943</v>
      </c>
      <c r="B724" s="166" t="s">
        <v>936</v>
      </c>
      <c r="C724" s="955" t="s">
        <v>1646</v>
      </c>
      <c r="D724" s="955" t="s">
        <v>250</v>
      </c>
    </row>
    <row r="725" spans="1:4">
      <c r="A725" s="167" t="s">
        <v>1381</v>
      </c>
      <c r="B725" s="166" t="s">
        <v>1380</v>
      </c>
      <c r="C725" s="955" t="s">
        <v>144</v>
      </c>
      <c r="D725" s="955" t="s">
        <v>244</v>
      </c>
    </row>
    <row r="726" spans="1:4">
      <c r="A726" s="167" t="s">
        <v>1463</v>
      </c>
      <c r="B726" s="166" t="s">
        <v>1462</v>
      </c>
      <c r="C726" s="955" t="s">
        <v>144</v>
      </c>
      <c r="D726" s="955" t="s">
        <v>235</v>
      </c>
    </row>
    <row r="727" spans="1:4">
      <c r="A727" s="167" t="s">
        <v>1291</v>
      </c>
      <c r="B727" s="166" t="s">
        <v>1290</v>
      </c>
      <c r="C727" s="955" t="s">
        <v>144</v>
      </c>
      <c r="D727" s="955" t="s">
        <v>242</v>
      </c>
    </row>
    <row r="728" spans="1:4">
      <c r="A728" s="167" t="s">
        <v>1204</v>
      </c>
      <c r="B728" s="166" t="s">
        <v>1203</v>
      </c>
      <c r="C728" s="955" t="s">
        <v>144</v>
      </c>
      <c r="D728" s="955" t="s">
        <v>237</v>
      </c>
    </row>
    <row r="729" spans="1:4">
      <c r="A729" s="167" t="s">
        <v>1889</v>
      </c>
      <c r="B729" s="166" t="s">
        <v>1890</v>
      </c>
      <c r="C729" s="955" t="s">
        <v>144</v>
      </c>
      <c r="D729" s="955" t="s">
        <v>241</v>
      </c>
    </row>
    <row r="730" spans="1:4">
      <c r="A730" s="167" t="s">
        <v>1394</v>
      </c>
      <c r="B730" s="166" t="s">
        <v>1393</v>
      </c>
      <c r="C730" s="955" t="s">
        <v>144</v>
      </c>
      <c r="D730" s="955" t="s">
        <v>239</v>
      </c>
    </row>
    <row r="731" spans="1:4">
      <c r="A731" s="167" t="s">
        <v>1319</v>
      </c>
      <c r="B731" s="166" t="s">
        <v>1318</v>
      </c>
      <c r="C731" s="955" t="s">
        <v>144</v>
      </c>
      <c r="D731" s="955" t="s">
        <v>246</v>
      </c>
    </row>
    <row r="732" spans="1:4">
      <c r="A732" s="167" t="s">
        <v>1899</v>
      </c>
      <c r="B732" s="166" t="s">
        <v>1900</v>
      </c>
      <c r="C732" s="955" t="s">
        <v>144</v>
      </c>
      <c r="D732" s="955" t="s">
        <v>1661</v>
      </c>
    </row>
    <row r="733" spans="1:4">
      <c r="A733" s="167" t="s">
        <v>1404</v>
      </c>
      <c r="B733" s="571" t="s">
        <v>1403</v>
      </c>
      <c r="C733" s="955" t="s">
        <v>155</v>
      </c>
      <c r="D733" s="955" t="s">
        <v>122</v>
      </c>
    </row>
    <row r="734" spans="1:4">
      <c r="A734" s="167" t="s">
        <v>1451</v>
      </c>
      <c r="B734" s="166" t="s">
        <v>1450</v>
      </c>
      <c r="C734" s="955" t="s">
        <v>155</v>
      </c>
      <c r="D734" s="955" t="s">
        <v>122</v>
      </c>
    </row>
    <row r="735" spans="1:4">
      <c r="A735" s="167" t="s">
        <v>1427</v>
      </c>
      <c r="B735" s="166" t="s">
        <v>1374</v>
      </c>
      <c r="C735" s="955" t="s">
        <v>155</v>
      </c>
      <c r="D735" s="955" t="s">
        <v>121</v>
      </c>
    </row>
    <row r="736" spans="1:4">
      <c r="A736" s="167" t="s">
        <v>1356</v>
      </c>
      <c r="B736" s="166" t="s">
        <v>1259</v>
      </c>
      <c r="C736" s="955" t="s">
        <v>155</v>
      </c>
      <c r="D736" s="955" t="s">
        <v>213</v>
      </c>
    </row>
    <row r="737" spans="1:4">
      <c r="A737" s="167" t="s">
        <v>1324</v>
      </c>
      <c r="B737" s="166" t="s">
        <v>1183</v>
      </c>
      <c r="C737" s="955" t="s">
        <v>155</v>
      </c>
      <c r="D737" s="955" t="s">
        <v>112</v>
      </c>
    </row>
    <row r="738" spans="1:4">
      <c r="A738" s="167" t="s">
        <v>1349</v>
      </c>
      <c r="B738" s="166" t="s">
        <v>1266</v>
      </c>
      <c r="C738" s="955" t="s">
        <v>155</v>
      </c>
      <c r="D738" s="955" t="s">
        <v>113</v>
      </c>
    </row>
    <row r="739" spans="1:4">
      <c r="A739" s="167" t="s">
        <v>1461</v>
      </c>
      <c r="B739" s="166" t="s">
        <v>1249</v>
      </c>
      <c r="C739" s="955" t="s">
        <v>155</v>
      </c>
      <c r="D739" s="955" t="s">
        <v>114</v>
      </c>
    </row>
    <row r="740" spans="1:4">
      <c r="A740" s="167" t="s">
        <v>1496</v>
      </c>
      <c r="B740" s="166" t="s">
        <v>1330</v>
      </c>
      <c r="C740" s="955" t="s">
        <v>155</v>
      </c>
      <c r="D740" s="955" t="s">
        <v>115</v>
      </c>
    </row>
    <row r="741" spans="1:4">
      <c r="A741" s="167" t="s">
        <v>1449</v>
      </c>
      <c r="B741" s="166" t="s">
        <v>1448</v>
      </c>
      <c r="C741" s="955" t="s">
        <v>155</v>
      </c>
      <c r="D741" s="955" t="s">
        <v>116</v>
      </c>
    </row>
    <row r="742" spans="1:4">
      <c r="A742" s="167" t="s">
        <v>1346</v>
      </c>
      <c r="B742" s="166" t="s">
        <v>1252</v>
      </c>
      <c r="C742" s="955" t="s">
        <v>155</v>
      </c>
      <c r="D742" s="955" t="s">
        <v>119</v>
      </c>
    </row>
    <row r="743" spans="1:4">
      <c r="A743" s="167" t="s">
        <v>1455</v>
      </c>
      <c r="B743" s="166" t="s">
        <v>1283</v>
      </c>
      <c r="C743" s="955" t="s">
        <v>155</v>
      </c>
      <c r="D743" s="955" t="s">
        <v>117</v>
      </c>
    </row>
    <row r="744" spans="1:4">
      <c r="A744" s="166" t="s">
        <v>1221</v>
      </c>
      <c r="B744" s="166" t="s">
        <v>1220</v>
      </c>
      <c r="C744" s="955" t="s">
        <v>155</v>
      </c>
      <c r="D744" s="955" t="s">
        <v>118</v>
      </c>
    </row>
    <row r="745" spans="1:4">
      <c r="A745" s="166" t="s">
        <v>1401</v>
      </c>
      <c r="B745" s="166" t="s">
        <v>1305</v>
      </c>
      <c r="C745" s="955" t="s">
        <v>155</v>
      </c>
      <c r="D745" s="955" t="s">
        <v>118</v>
      </c>
    </row>
    <row r="746" spans="1:4">
      <c r="A746" s="167" t="s">
        <v>1300</v>
      </c>
      <c r="B746" s="166" t="s">
        <v>1178</v>
      </c>
      <c r="C746" s="955" t="s">
        <v>155</v>
      </c>
      <c r="D746" s="955" t="s">
        <v>122</v>
      </c>
    </row>
    <row r="747" spans="1:4">
      <c r="A747" s="167" t="s">
        <v>1304</v>
      </c>
      <c r="B747" s="166" t="s">
        <v>1157</v>
      </c>
      <c r="C747" s="955" t="s">
        <v>155</v>
      </c>
      <c r="D747" s="955" t="s">
        <v>127</v>
      </c>
    </row>
    <row r="748" spans="1:4">
      <c r="A748" s="167" t="s">
        <v>1177</v>
      </c>
      <c r="B748" s="166" t="s">
        <v>932</v>
      </c>
      <c r="C748" s="955" t="s">
        <v>155</v>
      </c>
      <c r="D748" s="955" t="s">
        <v>128</v>
      </c>
    </row>
    <row r="749" spans="1:4">
      <c r="A749" s="167" t="s">
        <v>944</v>
      </c>
      <c r="B749" s="166" t="s">
        <v>934</v>
      </c>
      <c r="C749" s="955" t="s">
        <v>155</v>
      </c>
      <c r="D749" s="955" t="s">
        <v>133</v>
      </c>
    </row>
    <row r="750" spans="1:4">
      <c r="A750" s="167" t="s">
        <v>1528</v>
      </c>
      <c r="B750" s="166" t="s">
        <v>1527</v>
      </c>
      <c r="C750" s="955" t="s">
        <v>155</v>
      </c>
      <c r="D750" s="955" t="s">
        <v>123</v>
      </c>
    </row>
    <row r="751" spans="1:4">
      <c r="A751" s="167" t="s">
        <v>1236</v>
      </c>
      <c r="B751" s="166" t="s">
        <v>1180</v>
      </c>
      <c r="C751" s="955" t="s">
        <v>155</v>
      </c>
      <c r="D751" s="955" t="s">
        <v>131</v>
      </c>
    </row>
    <row r="752" spans="1:4">
      <c r="A752" s="167" t="s">
        <v>1379</v>
      </c>
      <c r="B752" s="556" t="s">
        <v>1286</v>
      </c>
      <c r="C752" s="955" t="s">
        <v>155</v>
      </c>
      <c r="D752" s="955" t="s">
        <v>124</v>
      </c>
    </row>
    <row r="753" spans="1:4">
      <c r="A753" s="167" t="s">
        <v>1269</v>
      </c>
      <c r="B753" s="166" t="s">
        <v>1206</v>
      </c>
      <c r="C753" s="955" t="s">
        <v>155</v>
      </c>
      <c r="D753" s="955" t="s">
        <v>129</v>
      </c>
    </row>
    <row r="754" spans="1:4">
      <c r="A754" s="167" t="s">
        <v>1195</v>
      </c>
      <c r="B754" s="166" t="s">
        <v>1154</v>
      </c>
      <c r="C754" s="955" t="s">
        <v>155</v>
      </c>
      <c r="D754" s="955" t="s">
        <v>130</v>
      </c>
    </row>
    <row r="755" spans="1:4">
      <c r="A755" s="167" t="s">
        <v>1325</v>
      </c>
      <c r="B755" s="166" t="s">
        <v>1237</v>
      </c>
      <c r="C755" s="955" t="s">
        <v>155</v>
      </c>
      <c r="D755" s="955" t="s">
        <v>132</v>
      </c>
    </row>
    <row r="756" spans="1:4">
      <c r="A756" s="167" t="s">
        <v>1293</v>
      </c>
      <c r="B756" s="166" t="s">
        <v>1292</v>
      </c>
      <c r="C756" s="955" t="s">
        <v>155</v>
      </c>
      <c r="D756" s="955" t="s">
        <v>125</v>
      </c>
    </row>
    <row r="757" spans="1:4">
      <c r="A757" s="167" t="s">
        <v>1430</v>
      </c>
      <c r="B757" s="166" t="s">
        <v>1308</v>
      </c>
      <c r="C757" s="955" t="s">
        <v>155</v>
      </c>
      <c r="D757" s="955" t="s">
        <v>126</v>
      </c>
    </row>
    <row r="758" spans="1:4">
      <c r="A758" s="167" t="s">
        <v>1405</v>
      </c>
      <c r="B758" s="166" t="s">
        <v>1333</v>
      </c>
      <c r="C758" s="955" t="s">
        <v>1646</v>
      </c>
      <c r="D758" s="955" t="s">
        <v>260</v>
      </c>
    </row>
    <row r="759" spans="1:4">
      <c r="A759" s="167" t="s">
        <v>945</v>
      </c>
      <c r="B759" s="166" t="s">
        <v>936</v>
      </c>
      <c r="C759" s="955" t="s">
        <v>1646</v>
      </c>
      <c r="D759" s="955" t="s">
        <v>250</v>
      </c>
    </row>
    <row r="760" spans="1:4">
      <c r="A760" s="167" t="s">
        <v>1169</v>
      </c>
      <c r="B760" s="166" t="s">
        <v>1168</v>
      </c>
      <c r="C760" s="955" t="s">
        <v>1646</v>
      </c>
      <c r="D760" s="955" t="s">
        <v>248</v>
      </c>
    </row>
    <row r="761" spans="1:4">
      <c r="A761" s="167" t="s">
        <v>1312</v>
      </c>
      <c r="B761" s="166" t="s">
        <v>1311</v>
      </c>
      <c r="C761" s="955" t="s">
        <v>155</v>
      </c>
      <c r="D761" s="955" t="s">
        <v>244</v>
      </c>
    </row>
    <row r="762" spans="1:4">
      <c r="A762" s="167" t="s">
        <v>1453</v>
      </c>
      <c r="B762" s="166" t="s">
        <v>1452</v>
      </c>
      <c r="C762" s="955" t="s">
        <v>155</v>
      </c>
      <c r="D762" s="955" t="s">
        <v>235</v>
      </c>
    </row>
    <row r="763" spans="1:4">
      <c r="A763" s="167" t="s">
        <v>1348</v>
      </c>
      <c r="B763" s="166" t="s">
        <v>1347</v>
      </c>
      <c r="C763" s="955" t="s">
        <v>155</v>
      </c>
      <c r="D763" s="955" t="s">
        <v>242</v>
      </c>
    </row>
    <row r="764" spans="1:4">
      <c r="A764" s="167" t="s">
        <v>1341</v>
      </c>
      <c r="B764" s="166" t="s">
        <v>1340</v>
      </c>
      <c r="C764" s="955" t="s">
        <v>155</v>
      </c>
      <c r="D764" s="955" t="s">
        <v>237</v>
      </c>
    </row>
    <row r="765" spans="1:4">
      <c r="A765" s="167" t="s">
        <v>1891</v>
      </c>
      <c r="B765" s="166" t="s">
        <v>1892</v>
      </c>
      <c r="C765" s="955" t="s">
        <v>155</v>
      </c>
      <c r="D765" s="955" t="s">
        <v>241</v>
      </c>
    </row>
    <row r="766" spans="1:4">
      <c r="A766" s="167" t="s">
        <v>1275</v>
      </c>
      <c r="B766" s="166" t="s">
        <v>1274</v>
      </c>
      <c r="C766" s="955" t="s">
        <v>155</v>
      </c>
      <c r="D766" s="955" t="s">
        <v>239</v>
      </c>
    </row>
    <row r="767" spans="1:4">
      <c r="A767" s="167" t="s">
        <v>1368</v>
      </c>
      <c r="B767" s="166" t="s">
        <v>1367</v>
      </c>
      <c r="C767" s="955" t="s">
        <v>155</v>
      </c>
      <c r="D767" s="955" t="s">
        <v>246</v>
      </c>
    </row>
    <row r="768" spans="1:4">
      <c r="A768" s="167" t="s">
        <v>1901</v>
      </c>
      <c r="B768" s="166" t="s">
        <v>1902</v>
      </c>
      <c r="C768" s="955" t="s">
        <v>155</v>
      </c>
      <c r="D768" s="955" t="s">
        <v>1661</v>
      </c>
    </row>
    <row r="769" spans="1:4">
      <c r="A769" s="167" t="s">
        <v>946</v>
      </c>
      <c r="B769" s="166" t="s">
        <v>399</v>
      </c>
      <c r="C769" s="955" t="s">
        <v>171</v>
      </c>
      <c r="D769" s="955" t="s">
        <v>122</v>
      </c>
    </row>
    <row r="770" spans="1:4">
      <c r="A770" s="167" t="s">
        <v>1884</v>
      </c>
      <c r="B770" s="166" t="s">
        <v>1391</v>
      </c>
      <c r="C770" s="955" t="s">
        <v>171</v>
      </c>
      <c r="D770" s="955" t="s">
        <v>122</v>
      </c>
    </row>
    <row r="771" spans="1:4">
      <c r="A771" s="167" t="s">
        <v>1260</v>
      </c>
      <c r="B771" s="166" t="s">
        <v>1259</v>
      </c>
      <c r="C771" s="955" t="s">
        <v>171</v>
      </c>
      <c r="D771" s="955" t="s">
        <v>213</v>
      </c>
    </row>
    <row r="772" spans="1:4">
      <c r="A772" s="167" t="s">
        <v>1202</v>
      </c>
      <c r="B772" s="166" t="s">
        <v>1183</v>
      </c>
      <c r="C772" s="955" t="s">
        <v>171</v>
      </c>
      <c r="D772" s="955" t="s">
        <v>112</v>
      </c>
    </row>
    <row r="773" spans="1:4">
      <c r="A773" s="167" t="s">
        <v>1267</v>
      </c>
      <c r="B773" s="166" t="s">
        <v>1266</v>
      </c>
      <c r="C773" s="955" t="s">
        <v>171</v>
      </c>
      <c r="D773" s="955" t="s">
        <v>113</v>
      </c>
    </row>
    <row r="774" spans="1:4">
      <c r="A774" s="176" t="s">
        <v>1250</v>
      </c>
      <c r="B774" s="961" t="s">
        <v>1249</v>
      </c>
      <c r="C774" s="955" t="s">
        <v>171</v>
      </c>
      <c r="D774" s="955" t="s">
        <v>114</v>
      </c>
    </row>
    <row r="775" spans="1:4">
      <c r="A775" s="167" t="s">
        <v>1331</v>
      </c>
      <c r="B775" s="166" t="s">
        <v>1330</v>
      </c>
      <c r="C775" s="955" t="s">
        <v>171</v>
      </c>
      <c r="D775" s="955" t="s">
        <v>115</v>
      </c>
    </row>
    <row r="776" spans="1:4">
      <c r="A776" s="167" t="s">
        <v>1212</v>
      </c>
      <c r="B776" s="166" t="s">
        <v>1211</v>
      </c>
      <c r="C776" s="955" t="s">
        <v>171</v>
      </c>
      <c r="D776" s="955" t="s">
        <v>116</v>
      </c>
    </row>
    <row r="777" spans="1:4">
      <c r="A777" s="167" t="s">
        <v>1253</v>
      </c>
      <c r="B777" s="166" t="s">
        <v>1252</v>
      </c>
      <c r="C777" s="955" t="s">
        <v>171</v>
      </c>
      <c r="D777" s="955" t="s">
        <v>119</v>
      </c>
    </row>
    <row r="778" spans="1:4">
      <c r="A778" s="167" t="s">
        <v>1284</v>
      </c>
      <c r="B778" s="166" t="s">
        <v>1283</v>
      </c>
      <c r="C778" s="955" t="s">
        <v>171</v>
      </c>
      <c r="D778" s="955" t="s">
        <v>117</v>
      </c>
    </row>
    <row r="779" spans="1:4">
      <c r="A779" s="166" t="s">
        <v>1306</v>
      </c>
      <c r="B779" s="166" t="s">
        <v>1305</v>
      </c>
      <c r="C779" s="955" t="s">
        <v>171</v>
      </c>
      <c r="D779" s="955" t="s">
        <v>118</v>
      </c>
    </row>
    <row r="780" spans="1:4">
      <c r="A780" s="167" t="s">
        <v>1179</v>
      </c>
      <c r="B780" s="166" t="s">
        <v>1178</v>
      </c>
      <c r="C780" s="955" t="s">
        <v>171</v>
      </c>
      <c r="D780" s="955" t="s">
        <v>122</v>
      </c>
    </row>
    <row r="781" spans="1:4">
      <c r="A781" s="167" t="s">
        <v>1158</v>
      </c>
      <c r="B781" s="166" t="s">
        <v>1157</v>
      </c>
      <c r="C781" s="955" t="s">
        <v>171</v>
      </c>
      <c r="D781" s="955" t="s">
        <v>127</v>
      </c>
    </row>
    <row r="782" spans="1:4">
      <c r="A782" s="167" t="s">
        <v>1197</v>
      </c>
      <c r="B782" s="166" t="s">
        <v>1196</v>
      </c>
      <c r="C782" s="955" t="s">
        <v>171</v>
      </c>
      <c r="D782" s="955" t="s">
        <v>128</v>
      </c>
    </row>
    <row r="783" spans="1:4">
      <c r="A783" s="167" t="s">
        <v>947</v>
      </c>
      <c r="B783" s="166" t="s">
        <v>934</v>
      </c>
      <c r="C783" s="955" t="s">
        <v>171</v>
      </c>
      <c r="D783" s="955" t="s">
        <v>133</v>
      </c>
    </row>
    <row r="784" spans="1:4">
      <c r="A784" s="167" t="s">
        <v>1187</v>
      </c>
      <c r="B784" s="166" t="s">
        <v>1186</v>
      </c>
      <c r="C784" s="955" t="s">
        <v>171</v>
      </c>
      <c r="D784" s="955" t="s">
        <v>123</v>
      </c>
    </row>
    <row r="785" spans="1:4">
      <c r="A785" s="167" t="s">
        <v>1181</v>
      </c>
      <c r="B785" s="166" t="s">
        <v>1180</v>
      </c>
      <c r="C785" s="955" t="s">
        <v>171</v>
      </c>
      <c r="D785" s="955" t="s">
        <v>131</v>
      </c>
    </row>
    <row r="786" spans="1:4">
      <c r="A786" s="167" t="s">
        <v>1287</v>
      </c>
      <c r="B786" s="166" t="s">
        <v>1286</v>
      </c>
      <c r="C786" s="955" t="s">
        <v>171</v>
      </c>
      <c r="D786" s="955" t="s">
        <v>124</v>
      </c>
    </row>
    <row r="787" spans="1:4">
      <c r="A787" s="167" t="s">
        <v>1207</v>
      </c>
      <c r="B787" s="166" t="s">
        <v>1206</v>
      </c>
      <c r="C787" s="955" t="s">
        <v>171</v>
      </c>
      <c r="D787" s="955" t="s">
        <v>129</v>
      </c>
    </row>
    <row r="788" spans="1:4">
      <c r="A788" s="167" t="s">
        <v>1155</v>
      </c>
      <c r="B788" s="166" t="s">
        <v>1154</v>
      </c>
      <c r="C788" s="955" t="s">
        <v>171</v>
      </c>
      <c r="D788" s="955" t="s">
        <v>130</v>
      </c>
    </row>
    <row r="789" spans="1:4">
      <c r="A789" s="167" t="s">
        <v>1238</v>
      </c>
      <c r="B789" s="166" t="s">
        <v>1237</v>
      </c>
      <c r="C789" s="955" t="s">
        <v>171</v>
      </c>
      <c r="D789" s="955" t="s">
        <v>132</v>
      </c>
    </row>
    <row r="790" spans="1:4">
      <c r="A790" s="167" t="s">
        <v>1218</v>
      </c>
      <c r="B790" s="166" t="s">
        <v>1217</v>
      </c>
      <c r="C790" s="955" t="s">
        <v>171</v>
      </c>
      <c r="D790" s="955" t="s">
        <v>125</v>
      </c>
    </row>
    <row r="791" spans="1:4">
      <c r="A791" s="167" t="s">
        <v>1309</v>
      </c>
      <c r="B791" s="166" t="s">
        <v>1308</v>
      </c>
      <c r="C791" s="955" t="s">
        <v>171</v>
      </c>
      <c r="D791" s="955" t="s">
        <v>126</v>
      </c>
    </row>
    <row r="792" spans="1:4">
      <c r="A792" s="167" t="s">
        <v>1334</v>
      </c>
      <c r="B792" s="166" t="s">
        <v>1333</v>
      </c>
      <c r="C792" s="955" t="s">
        <v>1646</v>
      </c>
      <c r="D792" s="955" t="s">
        <v>260</v>
      </c>
    </row>
    <row r="793" spans="1:4">
      <c r="A793" s="167" t="s">
        <v>948</v>
      </c>
      <c r="B793" s="166" t="s">
        <v>936</v>
      </c>
      <c r="C793" s="955" t="s">
        <v>1646</v>
      </c>
      <c r="D793" s="955" t="s">
        <v>250</v>
      </c>
    </row>
    <row r="794" spans="1:4">
      <c r="A794" s="167" t="s">
        <v>1245</v>
      </c>
      <c r="B794" s="166" t="s">
        <v>1244</v>
      </c>
      <c r="C794" s="955" t="s">
        <v>171</v>
      </c>
      <c r="D794" s="955" t="s">
        <v>244</v>
      </c>
    </row>
    <row r="795" spans="1:4">
      <c r="A795" s="167" t="s">
        <v>1399</v>
      </c>
      <c r="B795" s="166" t="s">
        <v>1398</v>
      </c>
      <c r="C795" s="955" t="s">
        <v>171</v>
      </c>
      <c r="D795" s="955" t="s">
        <v>235</v>
      </c>
    </row>
    <row r="796" spans="1:4">
      <c r="A796" s="167" t="s">
        <v>1256</v>
      </c>
      <c r="B796" s="166" t="s">
        <v>1255</v>
      </c>
      <c r="C796" s="955" t="s">
        <v>1646</v>
      </c>
      <c r="D796" s="955" t="s">
        <v>242</v>
      </c>
    </row>
    <row r="797" spans="1:4">
      <c r="A797" s="167" t="s">
        <v>1265</v>
      </c>
      <c r="B797" s="166" t="s">
        <v>1264</v>
      </c>
      <c r="C797" s="955" t="s">
        <v>171</v>
      </c>
      <c r="D797" s="955" t="s">
        <v>237</v>
      </c>
    </row>
    <row r="798" spans="1:4">
      <c r="A798" s="167" t="s">
        <v>1893</v>
      </c>
      <c r="B798" s="166" t="s">
        <v>1894</v>
      </c>
      <c r="C798" s="955" t="s">
        <v>171</v>
      </c>
      <c r="D798" s="955" t="s">
        <v>241</v>
      </c>
    </row>
    <row r="799" spans="1:4">
      <c r="A799" s="167" t="s">
        <v>1226</v>
      </c>
      <c r="B799" s="166" t="s">
        <v>1225</v>
      </c>
      <c r="C799" s="955" t="s">
        <v>171</v>
      </c>
      <c r="D799" s="955" t="s">
        <v>239</v>
      </c>
    </row>
    <row r="800" spans="1:4">
      <c r="A800" s="166" t="s">
        <v>1272</v>
      </c>
      <c r="B800" s="166" t="s">
        <v>1271</v>
      </c>
      <c r="C800" s="955" t="s">
        <v>171</v>
      </c>
      <c r="D800" s="955" t="s">
        <v>246</v>
      </c>
    </row>
    <row r="801" spans="1:4">
      <c r="A801" s="167" t="s">
        <v>1903</v>
      </c>
      <c r="B801" s="166" t="s">
        <v>1904</v>
      </c>
      <c r="C801" s="955" t="s">
        <v>171</v>
      </c>
      <c r="D801" s="955" t="s">
        <v>1661</v>
      </c>
    </row>
    <row r="802" spans="1:4">
      <c r="A802" s="167" t="s">
        <v>1216</v>
      </c>
      <c r="B802" s="166" t="s">
        <v>399</v>
      </c>
      <c r="C802" s="955" t="s">
        <v>175</v>
      </c>
      <c r="D802" s="955" t="s">
        <v>122</v>
      </c>
    </row>
    <row r="803" spans="1:4">
      <c r="A803" s="167" t="s">
        <v>1392</v>
      </c>
      <c r="B803" s="166" t="s">
        <v>1391</v>
      </c>
      <c r="C803" s="955" t="s">
        <v>175</v>
      </c>
      <c r="D803" s="955" t="s">
        <v>122</v>
      </c>
    </row>
    <row r="804" spans="1:4">
      <c r="A804" s="167" t="s">
        <v>1375</v>
      </c>
      <c r="B804" s="166" t="s">
        <v>1374</v>
      </c>
      <c r="C804" s="955" t="s">
        <v>175</v>
      </c>
      <c r="D804" s="955" t="s">
        <v>121</v>
      </c>
    </row>
    <row r="805" spans="1:4">
      <c r="A805" s="167" t="s">
        <v>1358</v>
      </c>
      <c r="B805" s="166" t="s">
        <v>1357</v>
      </c>
      <c r="C805" s="955" t="s">
        <v>175</v>
      </c>
      <c r="D805" s="955" t="s">
        <v>213</v>
      </c>
    </row>
    <row r="806" spans="1:4">
      <c r="A806" s="167" t="s">
        <v>1258</v>
      </c>
      <c r="B806" s="166" t="s">
        <v>1183</v>
      </c>
      <c r="C806" s="955" t="s">
        <v>175</v>
      </c>
      <c r="D806" s="955" t="s">
        <v>112</v>
      </c>
    </row>
    <row r="807" spans="1:4">
      <c r="A807" s="167" t="s">
        <v>1343</v>
      </c>
      <c r="B807" s="166" t="s">
        <v>1342</v>
      </c>
      <c r="C807" s="955" t="s">
        <v>175</v>
      </c>
      <c r="D807" s="955" t="s">
        <v>113</v>
      </c>
    </row>
    <row r="808" spans="1:4">
      <c r="A808" s="167" t="s">
        <v>1466</v>
      </c>
      <c r="B808" s="166" t="s">
        <v>1249</v>
      </c>
      <c r="C808" s="955" t="s">
        <v>175</v>
      </c>
      <c r="D808" s="955" t="s">
        <v>114</v>
      </c>
    </row>
    <row r="809" spans="1:4">
      <c r="A809" s="167" t="s">
        <v>1329</v>
      </c>
      <c r="B809" s="166" t="s">
        <v>1328</v>
      </c>
      <c r="C809" s="955" t="s">
        <v>175</v>
      </c>
      <c r="D809" s="955" t="s">
        <v>116</v>
      </c>
    </row>
    <row r="810" spans="1:4">
      <c r="A810" s="167" t="s">
        <v>1351</v>
      </c>
      <c r="B810" s="166" t="s">
        <v>1252</v>
      </c>
      <c r="C810" s="955" t="s">
        <v>175</v>
      </c>
      <c r="D810" s="955" t="s">
        <v>119</v>
      </c>
    </row>
    <row r="811" spans="1:4">
      <c r="A811" s="166" t="s">
        <v>1388</v>
      </c>
      <c r="B811" s="166" t="s">
        <v>1283</v>
      </c>
      <c r="C811" s="955" t="s">
        <v>175</v>
      </c>
      <c r="D811" s="955" t="s">
        <v>117</v>
      </c>
    </row>
    <row r="812" spans="1:4">
      <c r="A812" s="166" t="s">
        <v>1165</v>
      </c>
      <c r="B812" s="166" t="s">
        <v>1164</v>
      </c>
      <c r="C812" s="955" t="s">
        <v>175</v>
      </c>
      <c r="D812" s="955" t="s">
        <v>118</v>
      </c>
    </row>
    <row r="813" spans="1:4">
      <c r="A813" s="167" t="s">
        <v>1402</v>
      </c>
      <c r="B813" s="166" t="s">
        <v>1305</v>
      </c>
      <c r="C813" s="955" t="s">
        <v>175</v>
      </c>
      <c r="D813" s="955" t="s">
        <v>118</v>
      </c>
    </row>
    <row r="814" spans="1:4">
      <c r="A814" s="167" t="s">
        <v>1191</v>
      </c>
      <c r="B814" s="166" t="s">
        <v>1157</v>
      </c>
      <c r="C814" s="955" t="s">
        <v>175</v>
      </c>
      <c r="D814" s="955" t="s">
        <v>127</v>
      </c>
    </row>
    <row r="815" spans="1:4">
      <c r="A815" s="167" t="s">
        <v>949</v>
      </c>
      <c r="B815" s="166" t="s">
        <v>932</v>
      </c>
      <c r="C815" s="955" t="s">
        <v>155</v>
      </c>
      <c r="D815" s="955" t="s">
        <v>128</v>
      </c>
    </row>
    <row r="816" spans="1:4">
      <c r="A816" s="167" t="s">
        <v>950</v>
      </c>
      <c r="B816" s="166" t="s">
        <v>934</v>
      </c>
      <c r="C816" s="955" t="s">
        <v>175</v>
      </c>
      <c r="D816" s="955" t="s">
        <v>133</v>
      </c>
    </row>
    <row r="817" spans="1:4">
      <c r="A817" s="167" t="s">
        <v>1229</v>
      </c>
      <c r="B817" s="166" t="s">
        <v>1186</v>
      </c>
      <c r="C817" s="955" t="s">
        <v>175</v>
      </c>
      <c r="D817" s="955" t="s">
        <v>123</v>
      </c>
    </row>
    <row r="818" spans="1:4">
      <c r="A818" s="167" t="s">
        <v>1240</v>
      </c>
      <c r="B818" s="166" t="s">
        <v>1180</v>
      </c>
      <c r="C818" s="955" t="s">
        <v>175</v>
      </c>
      <c r="D818" s="955" t="s">
        <v>131</v>
      </c>
    </row>
    <row r="819" spans="1:4">
      <c r="A819" s="167" t="s">
        <v>1365</v>
      </c>
      <c r="B819" s="166" t="s">
        <v>1286</v>
      </c>
      <c r="C819" s="955" t="s">
        <v>175</v>
      </c>
      <c r="D819" s="955" t="s">
        <v>124</v>
      </c>
    </row>
    <row r="820" spans="1:4">
      <c r="A820" s="167" t="s">
        <v>1280</v>
      </c>
      <c r="B820" s="166" t="s">
        <v>1206</v>
      </c>
      <c r="C820" s="955" t="s">
        <v>175</v>
      </c>
      <c r="D820" s="955" t="s">
        <v>129</v>
      </c>
    </row>
    <row r="821" spans="1:4">
      <c r="A821" s="167" t="s">
        <v>1192</v>
      </c>
      <c r="B821" s="166" t="s">
        <v>1154</v>
      </c>
      <c r="C821" s="955" t="s">
        <v>175</v>
      </c>
      <c r="D821" s="955" t="s">
        <v>130</v>
      </c>
    </row>
    <row r="822" spans="1:4">
      <c r="A822" s="167" t="s">
        <v>1327</v>
      </c>
      <c r="B822" s="166" t="s">
        <v>1237</v>
      </c>
      <c r="C822" s="955" t="s">
        <v>175</v>
      </c>
      <c r="D822" s="955" t="s">
        <v>132</v>
      </c>
    </row>
    <row r="823" spans="1:4">
      <c r="A823" s="167" t="s">
        <v>1295</v>
      </c>
      <c r="B823" s="166" t="s">
        <v>1294</v>
      </c>
      <c r="C823" s="955" t="s">
        <v>175</v>
      </c>
      <c r="D823" s="955" t="s">
        <v>125</v>
      </c>
    </row>
    <row r="824" spans="1:4">
      <c r="A824" s="167" t="s">
        <v>1437</v>
      </c>
      <c r="B824" s="166" t="s">
        <v>1308</v>
      </c>
      <c r="C824" s="955" t="s">
        <v>175</v>
      </c>
      <c r="D824" s="955" t="s">
        <v>126</v>
      </c>
    </row>
    <row r="825" spans="1:4">
      <c r="A825" s="167" t="s">
        <v>1406</v>
      </c>
      <c r="B825" s="166" t="s">
        <v>1333</v>
      </c>
      <c r="C825" s="955" t="s">
        <v>1646</v>
      </c>
      <c r="D825" s="955" t="s">
        <v>260</v>
      </c>
    </row>
    <row r="826" spans="1:4">
      <c r="A826" s="167" t="s">
        <v>951</v>
      </c>
      <c r="B826" s="166" t="s">
        <v>936</v>
      </c>
      <c r="C826" s="955" t="s">
        <v>1646</v>
      </c>
      <c r="D826" s="955" t="s">
        <v>250</v>
      </c>
    </row>
    <row r="827" spans="1:4">
      <c r="A827" s="167" t="s">
        <v>1317</v>
      </c>
      <c r="B827" s="166" t="s">
        <v>1316</v>
      </c>
      <c r="C827" s="955" t="s">
        <v>175</v>
      </c>
      <c r="D827" s="955" t="s">
        <v>244</v>
      </c>
    </row>
    <row r="828" spans="1:4">
      <c r="A828" s="167" t="s">
        <v>1458</v>
      </c>
      <c r="B828" s="166" t="s">
        <v>1457</v>
      </c>
      <c r="C828" s="955" t="s">
        <v>175</v>
      </c>
      <c r="D828" s="955" t="s">
        <v>235</v>
      </c>
    </row>
    <row r="829" spans="1:4">
      <c r="A829" s="167" t="s">
        <v>1353</v>
      </c>
      <c r="B829" s="166" t="s">
        <v>1352</v>
      </c>
      <c r="C829" s="955" t="s">
        <v>175</v>
      </c>
      <c r="D829" s="955" t="s">
        <v>242</v>
      </c>
    </row>
    <row r="830" spans="1:4">
      <c r="A830" s="167" t="s">
        <v>1345</v>
      </c>
      <c r="B830" s="166" t="s">
        <v>1344</v>
      </c>
      <c r="C830" s="955" t="s">
        <v>175</v>
      </c>
      <c r="D830" s="955" t="s">
        <v>237</v>
      </c>
    </row>
    <row r="831" spans="1:4">
      <c r="A831" s="167" t="s">
        <v>1895</v>
      </c>
      <c r="B831" s="166" t="s">
        <v>1896</v>
      </c>
      <c r="C831" s="955" t="s">
        <v>175</v>
      </c>
      <c r="D831" s="955" t="s">
        <v>241</v>
      </c>
    </row>
    <row r="832" spans="1:4">
      <c r="A832" s="167" t="s">
        <v>1279</v>
      </c>
      <c r="B832" s="166" t="s">
        <v>1278</v>
      </c>
      <c r="C832" s="955" t="s">
        <v>175</v>
      </c>
      <c r="D832" s="955" t="s">
        <v>239</v>
      </c>
    </row>
    <row r="833" spans="1:4">
      <c r="A833" s="167" t="s">
        <v>1372</v>
      </c>
      <c r="B833" s="166" t="s">
        <v>1371</v>
      </c>
      <c r="C833" s="955" t="s">
        <v>175</v>
      </c>
      <c r="D833" s="955" t="s">
        <v>246</v>
      </c>
    </row>
    <row r="834" spans="1:4">
      <c r="A834" s="167" t="s">
        <v>1905</v>
      </c>
      <c r="B834" s="166" t="s">
        <v>1906</v>
      </c>
      <c r="C834" s="955" t="s">
        <v>175</v>
      </c>
      <c r="D834" s="955" t="s">
        <v>1661</v>
      </c>
    </row>
    <row r="835" spans="1:4">
      <c r="A835" s="168" t="s">
        <v>305</v>
      </c>
      <c r="B835" s="169" t="s">
        <v>952</v>
      </c>
      <c r="C835" s="955" t="s">
        <v>1646</v>
      </c>
      <c r="D835" s="955"/>
    </row>
    <row r="836" spans="1:4">
      <c r="A836" s="166" t="s">
        <v>1911</v>
      </c>
      <c r="B836" s="166" t="s">
        <v>1912</v>
      </c>
      <c r="C836" s="955" t="s">
        <v>175</v>
      </c>
      <c r="D836" s="955" t="s">
        <v>183</v>
      </c>
    </row>
    <row r="837" spans="1:4">
      <c r="A837" s="166" t="s">
        <v>1913</v>
      </c>
      <c r="B837" s="166" t="s">
        <v>1914</v>
      </c>
      <c r="C837" s="955" t="s">
        <v>1646</v>
      </c>
      <c r="D837" s="955" t="s">
        <v>1947</v>
      </c>
    </row>
    <row r="838" spans="1:4">
      <c r="A838" s="167" t="s">
        <v>325</v>
      </c>
      <c r="B838" s="166" t="s">
        <v>324</v>
      </c>
      <c r="C838" s="955" t="s">
        <v>75</v>
      </c>
      <c r="D838" s="955" t="s">
        <v>137</v>
      </c>
    </row>
    <row r="839" spans="1:4">
      <c r="A839" s="167" t="s">
        <v>303</v>
      </c>
      <c r="B839" s="166" t="s">
        <v>302</v>
      </c>
      <c r="C839" s="955" t="s">
        <v>75</v>
      </c>
      <c r="D839" s="955" t="s">
        <v>140</v>
      </c>
    </row>
    <row r="840" spans="1:4">
      <c r="A840" s="167" t="s">
        <v>1907</v>
      </c>
      <c r="B840" s="166" t="s">
        <v>1908</v>
      </c>
      <c r="C840" s="955" t="s">
        <v>1646</v>
      </c>
      <c r="D840" s="955"/>
    </row>
    <row r="841" spans="1:4">
      <c r="A841" s="167" t="s">
        <v>507</v>
      </c>
      <c r="B841" s="166" t="s">
        <v>506</v>
      </c>
      <c r="C841" s="955" t="s">
        <v>75</v>
      </c>
      <c r="D841" s="955" t="s">
        <v>97</v>
      </c>
    </row>
    <row r="842" spans="1:4">
      <c r="A842" s="167" t="s">
        <v>360</v>
      </c>
      <c r="B842" s="166" t="s">
        <v>510</v>
      </c>
      <c r="C842" s="955" t="s">
        <v>75</v>
      </c>
      <c r="D842" s="955" t="s">
        <v>97</v>
      </c>
    </row>
    <row r="843" spans="1:4">
      <c r="A843" s="168" t="s">
        <v>1126</v>
      </c>
      <c r="B843" s="169" t="s">
        <v>1125</v>
      </c>
      <c r="C843" s="955" t="s">
        <v>1646</v>
      </c>
      <c r="D843" s="955" t="s">
        <v>89</v>
      </c>
    </row>
    <row r="844" spans="1:4">
      <c r="A844" s="167" t="s">
        <v>421</v>
      </c>
      <c r="B844" s="166" t="s">
        <v>461</v>
      </c>
      <c r="C844" s="955" t="s">
        <v>144</v>
      </c>
      <c r="D844" s="955" t="s">
        <v>97</v>
      </c>
    </row>
    <row r="845" spans="1:4">
      <c r="A845" s="168" t="s">
        <v>1128</v>
      </c>
      <c r="B845" s="169" t="s">
        <v>1127</v>
      </c>
      <c r="C845" s="955" t="s">
        <v>144</v>
      </c>
      <c r="D845" s="955" t="s">
        <v>97</v>
      </c>
    </row>
    <row r="846" spans="1:4">
      <c r="A846" s="167" t="s">
        <v>1909</v>
      </c>
      <c r="B846" s="166" t="s">
        <v>1910</v>
      </c>
      <c r="C846" s="955" t="s">
        <v>144</v>
      </c>
      <c r="D846" s="955"/>
    </row>
    <row r="847" spans="1:4">
      <c r="A847" s="167" t="s">
        <v>515</v>
      </c>
      <c r="B847" s="166" t="s">
        <v>514</v>
      </c>
      <c r="C847" s="955" t="s">
        <v>75</v>
      </c>
      <c r="D847" s="955" t="s">
        <v>97</v>
      </c>
    </row>
    <row r="848" spans="1:4">
      <c r="A848" s="168" t="s">
        <v>1130</v>
      </c>
      <c r="B848" s="169" t="s">
        <v>1129</v>
      </c>
      <c r="C848" s="955" t="s">
        <v>75</v>
      </c>
      <c r="D848" s="955">
        <v>0</v>
      </c>
    </row>
    <row r="849" spans="1:4">
      <c r="A849" s="166" t="s">
        <v>954</v>
      </c>
      <c r="B849" s="166" t="s">
        <v>953</v>
      </c>
      <c r="C849" s="955" t="s">
        <v>144</v>
      </c>
      <c r="D849" s="955"/>
    </row>
    <row r="850" spans="1:4">
      <c r="A850" s="168" t="s">
        <v>1132</v>
      </c>
      <c r="B850" s="169" t="s">
        <v>1131</v>
      </c>
      <c r="C850" s="955" t="s">
        <v>144</v>
      </c>
      <c r="D850" s="955" t="s">
        <v>146</v>
      </c>
    </row>
    <row r="851" spans="1:4">
      <c r="A851" s="167" t="s">
        <v>436</v>
      </c>
      <c r="B851" s="166" t="s">
        <v>435</v>
      </c>
      <c r="C851" s="955" t="s">
        <v>75</v>
      </c>
      <c r="D851" s="955" t="s">
        <v>98</v>
      </c>
    </row>
    <row r="852" spans="1:4">
      <c r="A852" s="168" t="s">
        <v>1134</v>
      </c>
      <c r="B852" s="169" t="s">
        <v>1133</v>
      </c>
      <c r="C852" s="955" t="s">
        <v>75</v>
      </c>
      <c r="D852" s="955">
        <v>0</v>
      </c>
    </row>
    <row r="853" spans="1:4">
      <c r="A853" s="167" t="s">
        <v>359</v>
      </c>
      <c r="B853" s="166" t="s">
        <v>358</v>
      </c>
      <c r="C853" s="955" t="s">
        <v>75</v>
      </c>
      <c r="D853" s="955" t="s">
        <v>98</v>
      </c>
    </row>
    <row r="854" spans="1:4">
      <c r="A854" s="168" t="s">
        <v>1136</v>
      </c>
      <c r="B854" s="169" t="s">
        <v>1135</v>
      </c>
      <c r="C854" s="955" t="s">
        <v>75</v>
      </c>
      <c r="D854" s="955">
        <v>0</v>
      </c>
    </row>
    <row r="855" spans="1:4">
      <c r="A855" s="167" t="s">
        <v>420</v>
      </c>
      <c r="B855" s="166" t="s">
        <v>419</v>
      </c>
      <c r="C855" s="955" t="s">
        <v>144</v>
      </c>
      <c r="D855" s="955" t="s">
        <v>98</v>
      </c>
    </row>
    <row r="856" spans="1:4">
      <c r="A856" s="168" t="s">
        <v>1138</v>
      </c>
      <c r="B856" s="169" t="s">
        <v>1137</v>
      </c>
      <c r="C856" s="955" t="s">
        <v>144</v>
      </c>
      <c r="D856" s="955" t="s">
        <v>98</v>
      </c>
    </row>
    <row r="857" spans="1:4">
      <c r="A857" s="167" t="s">
        <v>432</v>
      </c>
      <c r="B857" s="166" t="s">
        <v>431</v>
      </c>
      <c r="C857" s="955" t="s">
        <v>144</v>
      </c>
      <c r="D857" s="955" t="s">
        <v>98</v>
      </c>
    </row>
    <row r="858" spans="1:4">
      <c r="A858" s="168" t="s">
        <v>1140</v>
      </c>
      <c r="B858" s="169" t="s">
        <v>1139</v>
      </c>
      <c r="C858" s="955" t="s">
        <v>144</v>
      </c>
      <c r="D858" s="955" t="s">
        <v>98</v>
      </c>
    </row>
    <row r="859" spans="1:4">
      <c r="A859" s="166" t="s">
        <v>381</v>
      </c>
      <c r="B859" s="166" t="s">
        <v>380</v>
      </c>
      <c r="C859" s="955" t="s">
        <v>1646</v>
      </c>
      <c r="D859" s="955" t="s">
        <v>141</v>
      </c>
    </row>
    <row r="860" spans="1:4">
      <c r="A860" s="166" t="s">
        <v>382</v>
      </c>
      <c r="B860" s="166" t="s">
        <v>528</v>
      </c>
      <c r="C860" s="955" t="s">
        <v>1646</v>
      </c>
      <c r="D860" s="955" t="s">
        <v>1947</v>
      </c>
    </row>
    <row r="861" spans="1:4">
      <c r="A861" s="166" t="s">
        <v>1387</v>
      </c>
      <c r="B861" s="166" t="s">
        <v>1431</v>
      </c>
      <c r="C861" s="955" t="s">
        <v>1646</v>
      </c>
      <c r="D861" s="955" t="s">
        <v>262</v>
      </c>
    </row>
    <row r="862" spans="1:4">
      <c r="A862" s="166" t="s">
        <v>1234</v>
      </c>
      <c r="B862" s="166" t="s">
        <v>1233</v>
      </c>
      <c r="C862" s="955" t="s">
        <v>1646</v>
      </c>
      <c r="D862" s="955" t="s">
        <v>261</v>
      </c>
    </row>
    <row r="863" spans="1:4">
      <c r="A863" s="166" t="s">
        <v>1390</v>
      </c>
      <c r="B863" s="166" t="s">
        <v>1389</v>
      </c>
      <c r="C863" s="955" t="s">
        <v>1646</v>
      </c>
      <c r="D863" s="955" t="s">
        <v>262</v>
      </c>
    </row>
    <row r="864" spans="1:4">
      <c r="A864" s="166" t="s">
        <v>1386</v>
      </c>
      <c r="B864" s="166" t="s">
        <v>1385</v>
      </c>
      <c r="C864" s="955" t="s">
        <v>1646</v>
      </c>
      <c r="D864" s="955" t="s">
        <v>134</v>
      </c>
    </row>
    <row r="865" spans="1:4">
      <c r="A865" s="167"/>
      <c r="B865" s="171"/>
      <c r="C865" s="955"/>
      <c r="D865" s="955"/>
    </row>
    <row r="866" spans="1:4">
      <c r="A866" s="167"/>
      <c r="B866" s="171"/>
      <c r="C866" s="955"/>
      <c r="D866" s="955"/>
    </row>
    <row r="867" spans="1:4">
      <c r="A867" s="167"/>
      <c r="B867" s="171"/>
      <c r="C867" s="955"/>
      <c r="D867" s="955"/>
    </row>
    <row r="868" spans="1:4">
      <c r="A868" s="167"/>
      <c r="B868" s="171"/>
      <c r="C868" s="955"/>
      <c r="D868" s="955"/>
    </row>
    <row r="869" spans="1:4">
      <c r="A869" s="167"/>
      <c r="B869" s="171"/>
      <c r="C869" s="955"/>
      <c r="D869" s="955"/>
    </row>
    <row r="870" spans="1:4">
      <c r="A870" s="167"/>
      <c r="B870" s="171"/>
      <c r="C870" s="955"/>
      <c r="D870" s="955"/>
    </row>
    <row r="871" spans="1:4">
      <c r="A871" s="167"/>
      <c r="B871" s="171"/>
      <c r="C871" s="955"/>
      <c r="D871" s="955"/>
    </row>
    <row r="872" spans="1:4">
      <c r="A872" s="962"/>
      <c r="B872" s="957"/>
      <c r="C872" s="955"/>
      <c r="D872" s="955"/>
    </row>
    <row r="873" spans="1:4">
      <c r="A873" s="167"/>
      <c r="B873" s="171"/>
      <c r="C873" s="955"/>
      <c r="D873" s="955"/>
    </row>
    <row r="874" spans="1:4">
      <c r="A874" s="167"/>
      <c r="B874" s="171"/>
      <c r="C874" s="955"/>
      <c r="D874" s="955"/>
    </row>
    <row r="875" spans="1:4">
      <c r="A875" s="167"/>
      <c r="B875" s="171"/>
      <c r="C875" s="955"/>
      <c r="D875" s="955"/>
    </row>
    <row r="876" spans="1:4">
      <c r="A876" s="167"/>
      <c r="B876" s="171"/>
      <c r="C876" s="955"/>
      <c r="D876" s="955"/>
    </row>
    <row r="877" spans="1:4">
      <c r="A877" s="167"/>
      <c r="B877" s="171"/>
      <c r="C877" s="955"/>
      <c r="D877" s="955"/>
    </row>
    <row r="878" spans="1:4">
      <c r="A878" s="167"/>
      <c r="B878" s="171"/>
      <c r="C878" s="955"/>
      <c r="D878" s="955"/>
    </row>
    <row r="879" spans="1:4">
      <c r="A879" s="167"/>
      <c r="B879" s="171"/>
      <c r="C879" s="955"/>
      <c r="D879" s="955"/>
    </row>
    <row r="880" spans="1:4">
      <c r="A880" s="167"/>
      <c r="B880" s="171"/>
      <c r="C880" s="955"/>
      <c r="D880" s="955"/>
    </row>
    <row r="881" spans="1:4">
      <c r="A881" s="167"/>
      <c r="B881" s="171"/>
      <c r="C881" s="955"/>
      <c r="D881" s="955"/>
    </row>
    <row r="882" spans="1:4">
      <c r="A882" s="167"/>
      <c r="B882" s="171"/>
      <c r="C882" s="955"/>
      <c r="D882" s="955"/>
    </row>
    <row r="883" spans="1:4">
      <c r="A883" s="167"/>
      <c r="B883" s="171"/>
      <c r="C883" s="955"/>
      <c r="D883" s="955"/>
    </row>
    <row r="884" spans="1:4">
      <c r="A884" s="963"/>
      <c r="B884" s="171"/>
      <c r="C884" s="955"/>
      <c r="D884" s="955"/>
    </row>
    <row r="885" spans="1:4">
      <c r="A885" s="963"/>
      <c r="B885" s="171"/>
      <c r="C885" s="955"/>
      <c r="D885" s="955"/>
    </row>
    <row r="886" spans="1:4">
      <c r="A886" s="167"/>
      <c r="B886" s="171"/>
      <c r="C886" s="955"/>
      <c r="D886" s="955"/>
    </row>
    <row r="887" spans="1:4">
      <c r="A887" s="167"/>
      <c r="B887" s="171"/>
      <c r="C887" s="955"/>
      <c r="D887" s="955"/>
    </row>
    <row r="888" spans="1:4">
      <c r="A888" s="167"/>
      <c r="B888" s="171"/>
      <c r="C888" s="955"/>
      <c r="D888" s="955"/>
    </row>
    <row r="889" spans="1:4">
      <c r="A889" s="964"/>
      <c r="B889" s="960"/>
      <c r="C889" s="955"/>
      <c r="D889" s="955"/>
    </row>
    <row r="890" spans="1:4">
      <c r="A890" s="167"/>
      <c r="B890" s="171"/>
      <c r="C890" s="955"/>
      <c r="D890" s="955"/>
    </row>
    <row r="891" spans="1:4">
      <c r="A891" s="167"/>
      <c r="B891" s="171"/>
      <c r="C891" s="955"/>
      <c r="D891" s="955"/>
    </row>
    <row r="892" spans="1:4">
      <c r="A892" s="167"/>
      <c r="B892" s="171"/>
      <c r="C892" s="955"/>
      <c r="D892" s="955"/>
    </row>
    <row r="893" spans="1:4">
      <c r="A893" s="167"/>
      <c r="B893" s="171"/>
      <c r="C893" s="955"/>
      <c r="D893" s="955"/>
    </row>
    <row r="894" spans="1:4">
      <c r="A894" s="167"/>
      <c r="B894" s="171"/>
      <c r="C894" s="955"/>
      <c r="D894" s="955"/>
    </row>
    <row r="895" spans="1:4">
      <c r="A895" s="167"/>
      <c r="B895" s="171"/>
      <c r="C895" s="955"/>
      <c r="D895" s="955"/>
    </row>
    <row r="896" spans="1:4">
      <c r="A896" s="167"/>
      <c r="B896" s="171"/>
      <c r="C896" s="955"/>
      <c r="D896" s="955"/>
    </row>
    <row r="897" spans="1:4">
      <c r="A897" s="167"/>
      <c r="B897" s="171"/>
      <c r="C897" s="955"/>
      <c r="D897" s="955"/>
    </row>
    <row r="898" spans="1:4">
      <c r="A898" s="167"/>
      <c r="B898" s="171"/>
      <c r="C898" s="955"/>
      <c r="D898" s="955"/>
    </row>
    <row r="899" spans="1:4">
      <c r="A899" s="167"/>
      <c r="B899" s="955"/>
      <c r="C899" s="955"/>
      <c r="D899" s="955"/>
    </row>
    <row r="900" spans="1:4">
      <c r="A900" s="167"/>
      <c r="B900" s="171"/>
      <c r="C900" s="955"/>
      <c r="D900" s="955"/>
    </row>
    <row r="901" spans="1:4">
      <c r="A901" s="167"/>
      <c r="B901" s="171"/>
      <c r="C901" s="955"/>
      <c r="D901" s="955"/>
    </row>
    <row r="902" spans="1:4">
      <c r="A902" s="167"/>
      <c r="B902" s="171"/>
      <c r="C902" s="955"/>
      <c r="D902" s="955"/>
    </row>
    <row r="903" spans="1:4">
      <c r="A903" s="167"/>
      <c r="B903" s="171"/>
      <c r="C903" s="955"/>
      <c r="D903" s="955"/>
    </row>
    <row r="904" spans="1:4">
      <c r="A904" s="167"/>
      <c r="B904" s="171"/>
      <c r="C904" s="955"/>
      <c r="D904" s="955"/>
    </row>
    <row r="905" spans="1:4">
      <c r="A905" s="167"/>
      <c r="B905" s="171"/>
      <c r="C905" s="955"/>
      <c r="D905" s="955"/>
    </row>
    <row r="906" spans="1:4">
      <c r="A906" s="167"/>
      <c r="B906" s="171"/>
      <c r="C906" s="955"/>
      <c r="D906" s="955"/>
    </row>
    <row r="907" spans="1:4">
      <c r="A907" s="167"/>
      <c r="B907" s="171"/>
      <c r="C907" s="955"/>
      <c r="D907" s="955"/>
    </row>
    <row r="908" spans="1:4">
      <c r="A908" s="167"/>
      <c r="B908" s="171"/>
      <c r="C908" s="955"/>
      <c r="D908" s="955"/>
    </row>
    <row r="909" spans="1:4">
      <c r="A909" s="167"/>
      <c r="B909" s="171"/>
      <c r="C909" s="955"/>
      <c r="D909" s="955"/>
    </row>
    <row r="910" spans="1:4">
      <c r="A910" s="167"/>
      <c r="B910" s="171"/>
      <c r="C910" s="955"/>
      <c r="D910" s="955"/>
    </row>
    <row r="911" spans="1:4">
      <c r="A911" s="167"/>
      <c r="B911" s="171"/>
      <c r="C911" s="955"/>
      <c r="D911" s="955"/>
    </row>
    <row r="912" spans="1:4">
      <c r="A912" s="167"/>
      <c r="B912" s="171"/>
      <c r="C912" s="955"/>
      <c r="D912" s="955"/>
    </row>
  </sheetData>
  <autoFilter ref="A1:D1" xr:uid="{00000000-0009-0000-0000-00000A000000}">
    <sortState xmlns:xlrd2="http://schemas.microsoft.com/office/spreadsheetml/2017/richdata2" ref="A2:D864">
      <sortCondition ref="A1"/>
    </sortState>
  </autoFilter>
  <dataValidations count="3">
    <dataValidation type="list" allowBlank="1" showErrorMessage="1" sqref="D1:D860" xr:uid="{00000000-0002-0000-0A00-000000000000}">
      <formula1>$L$1:$L$140</formula1>
    </dataValidation>
    <dataValidation type="list" allowBlank="1" showErrorMessage="1" sqref="C2:C912" xr:uid="{00000000-0002-0000-0A00-000001000000}">
      <formula1>$J$1:$J$11</formula1>
    </dataValidation>
    <dataValidation type="list" allowBlank="1" showErrorMessage="1" sqref="D861:D912" xr:uid="{00000000-0002-0000-0A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6</vt:i4>
      </vt:variant>
    </vt:vector>
  </HeadingPairs>
  <TitlesOfParts>
    <vt:vector size="17" baseType="lpstr">
      <vt:lpstr>Parametres</vt:lpstr>
      <vt:lpstr>Bilan</vt:lpstr>
      <vt:lpstr>Budget original</vt:lpstr>
      <vt:lpstr>2pager</vt:lpstr>
      <vt:lpstr>Budget révisé</vt:lpstr>
      <vt:lpstr>Print_Mois</vt:lpstr>
      <vt:lpstr>Print_AAD</vt:lpstr>
      <vt:lpstr>BV_Data_An_Cour</vt:lpstr>
      <vt:lpstr>BV_Data_An_Prec</vt:lpstr>
      <vt:lpstr>Data_Validation</vt:lpstr>
      <vt:lpstr>Feuil1</vt:lpstr>
      <vt:lpstr>'2pager'!Impression_des_titres</vt:lpstr>
      <vt:lpstr>'2pager'!Zone_d_impression</vt:lpstr>
      <vt:lpstr>'Budget original'!Zone_d_impression</vt:lpstr>
      <vt:lpstr>'Budget révisé'!Zone_d_impression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2021-08-11T18:10:52Z</cp:lastPrinted>
  <dcterms:created xsi:type="dcterms:W3CDTF">2020-10-20T13:57:48Z</dcterms:created>
  <dcterms:modified xsi:type="dcterms:W3CDTF">2021-10-15T19:25:29Z</dcterms:modified>
</cp:coreProperties>
</file>